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15345" windowHeight="6045" firstSheet="2" activeTab="3"/>
  </bookViews>
  <sheets>
    <sheet name="OptonsPayoff" sheetId="1" r:id="rId1"/>
    <sheet name="OptionPortfolioProfit" sheetId="2" r:id="rId2"/>
    <sheet name="OptionPortfolioProfit_v2" sheetId="3" r:id="rId3"/>
    <sheet name="BSM_model&amp;Greeks" sheetId="4" r:id="rId4"/>
  </sheets>
  <definedNames>
    <definedName name="cSize">OptionPortfolioProfit!$D$24</definedName>
    <definedName name="dOne">'BSM_model&amp;Greeks'!$B$16</definedName>
    <definedName name="dTwo">'BSM_model&amp;Greeks'!$B$20</definedName>
    <definedName name="eqt">'BSM_model&amp;Greeks'!$B$13</definedName>
    <definedName name="ert">'BSM_model&amp;Greeks'!$B$12</definedName>
    <definedName name="K">'BSM_model&amp;Greeks'!$B$5</definedName>
    <definedName name="NdOne">'BSM_model&amp;Greeks'!$B$17</definedName>
    <definedName name="NdTwo">'BSM_model&amp;Greeks'!$B$21</definedName>
    <definedName name="NmdOne">'BSM_model&amp;Greeks'!$B$18</definedName>
    <definedName name="NmdTwo">'BSM_model&amp;Greeks'!$B$22</definedName>
    <definedName name="NpdOne">'BSM_model&amp;Greeks'!$B$24</definedName>
    <definedName name="q">'BSM_model&amp;Greeks'!$B$6</definedName>
    <definedName name="radj">'BSM_model&amp;Greeks'!$B$14</definedName>
    <definedName name="rr">'BSM_model&amp;Greeks'!$B$9</definedName>
    <definedName name="S">'BSM_model&amp;Greeks'!$B$4</definedName>
    <definedName name="T">'BSM_model&amp;Greeks'!$B$7</definedName>
    <definedName name="V">'BSM_model&amp;Greeks'!$B$8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B24" i="4"/>
  <c r="E11" i="4"/>
  <c r="F9" i="4"/>
  <c r="E9" i="4"/>
  <c r="E7" i="4"/>
  <c r="F7" i="4" s="1"/>
  <c r="F6" i="4"/>
  <c r="B14" i="4"/>
  <c r="B16" i="4" s="1"/>
  <c r="B13" i="4"/>
  <c r="B12" i="4"/>
  <c r="J33" i="3" a="1"/>
  <c r="J33" i="3" s="1"/>
  <c r="E14" i="3"/>
  <c r="E15" i="3"/>
  <c r="E16" i="3"/>
  <c r="E17" i="3"/>
  <c r="E18" i="3"/>
  <c r="E19" i="3"/>
  <c r="E20" i="3"/>
  <c r="E21" i="3"/>
  <c r="E22" i="3"/>
  <c r="E13" i="3"/>
  <c r="B35" i="3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C36" i="2" a="1"/>
  <c r="C37" i="2" a="1"/>
  <c r="C38" i="2" a="1"/>
  <c r="C39" i="2" a="1"/>
  <c r="C40" i="2" a="1"/>
  <c r="C41" i="2" a="1"/>
  <c r="C42" i="2" a="1"/>
  <c r="C43" i="2" a="1"/>
  <c r="C44" i="2" a="1"/>
  <c r="C45" i="2" a="1"/>
  <c r="C46" i="2" a="1"/>
  <c r="C47" i="2" a="1"/>
  <c r="C48" i="2" a="1"/>
  <c r="C49" i="2" a="1"/>
  <c r="C50" i="2" a="1"/>
  <c r="C51" i="2" a="1"/>
  <c r="C52" i="2" a="1"/>
  <c r="C53" i="2" a="1"/>
  <c r="C54" i="2" a="1"/>
  <c r="C55" i="2" a="1"/>
  <c r="C56" i="2" a="1"/>
  <c r="C57" i="2" a="1"/>
  <c r="C58" i="2" a="1"/>
  <c r="C59" i="2" a="1"/>
  <c r="C60" i="2" a="1"/>
  <c r="C61" i="2" a="1"/>
  <c r="C62" i="2" a="1"/>
  <c r="C63" i="2" a="1"/>
  <c r="C64" i="2" a="1"/>
  <c r="C35" i="2" a="1"/>
  <c r="F31" i="2" a="1"/>
  <c r="G31" i="2" s="1"/>
  <c r="G29" i="2" s="1"/>
  <c r="B37" i="2"/>
  <c r="B38" i="2"/>
  <c r="B39" i="2"/>
  <c r="B40" i="2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36" i="2"/>
  <c r="B35" i="2"/>
  <c r="E8" i="4" l="1"/>
  <c r="F8" i="4" s="1"/>
  <c r="B20" i="4"/>
  <c r="B21" i="4" s="1"/>
  <c r="B22" i="4" s="1"/>
  <c r="B18" i="4"/>
  <c r="F4" i="4" s="1"/>
  <c r="B17" i="4"/>
  <c r="E5" i="4" s="1"/>
  <c r="C37" i="3" a="1"/>
  <c r="C37" i="3" s="1"/>
  <c r="C60" i="3" a="1"/>
  <c r="C60" i="3" s="1"/>
  <c r="C52" i="3" a="1"/>
  <c r="C52" i="3" s="1"/>
  <c r="C44" i="3" a="1"/>
  <c r="C44" i="3" s="1"/>
  <c r="C36" i="3" a="1"/>
  <c r="C36" i="3" s="1"/>
  <c r="C58" i="3" a="1"/>
  <c r="C58" i="3" s="1"/>
  <c r="C50" i="3" a="1"/>
  <c r="C50" i="3" s="1"/>
  <c r="C42" i="3" a="1"/>
  <c r="C42" i="3" s="1"/>
  <c r="C64" i="3" a="1"/>
  <c r="C64" i="3" s="1"/>
  <c r="C56" i="3" a="1"/>
  <c r="C56" i="3" s="1"/>
  <c r="C48" i="3" a="1"/>
  <c r="C48" i="3" s="1"/>
  <c r="C40" i="3" a="1"/>
  <c r="C40" i="3" s="1"/>
  <c r="C62" i="3" a="1"/>
  <c r="C62" i="3" s="1"/>
  <c r="C54" i="3" a="1"/>
  <c r="C54" i="3" s="1"/>
  <c r="C46" i="3" a="1"/>
  <c r="C46" i="3" s="1"/>
  <c r="C38" i="3" a="1"/>
  <c r="C38" i="3" s="1"/>
  <c r="C35" i="3" a="1"/>
  <c r="C35" i="3" s="1"/>
  <c r="C63" i="3" a="1"/>
  <c r="C63" i="3" s="1"/>
  <c r="C61" i="3" a="1"/>
  <c r="C61" i="3" s="1"/>
  <c r="C59" i="3" a="1"/>
  <c r="C59" i="3" s="1"/>
  <c r="C57" i="3" a="1"/>
  <c r="C57" i="3" s="1"/>
  <c r="C55" i="3" a="1"/>
  <c r="C55" i="3" s="1"/>
  <c r="C53" i="3" a="1"/>
  <c r="C53" i="3" s="1"/>
  <c r="C51" i="3" a="1"/>
  <c r="C51" i="3" s="1"/>
  <c r="C49" i="3" a="1"/>
  <c r="C49" i="3" s="1"/>
  <c r="C47" i="3" a="1"/>
  <c r="C47" i="3" s="1"/>
  <c r="C45" i="3" a="1"/>
  <c r="C45" i="3" s="1"/>
  <c r="C43" i="3" a="1"/>
  <c r="C43" i="3" s="1"/>
  <c r="C41" i="3" a="1"/>
  <c r="C41" i="3" s="1"/>
  <c r="C39" i="3" a="1"/>
  <c r="C39" i="3" s="1"/>
  <c r="N33" i="2"/>
  <c r="J33" i="2"/>
  <c r="F33" i="2"/>
  <c r="L32" i="2"/>
  <c r="H32" i="2"/>
  <c r="N31" i="2"/>
  <c r="N29" i="2" s="1"/>
  <c r="J31" i="2"/>
  <c r="J29" i="2" s="1"/>
  <c r="F31" i="2"/>
  <c r="F29" i="2" s="1"/>
  <c r="M33" i="2"/>
  <c r="I33" i="2"/>
  <c r="O32" i="2"/>
  <c r="K32" i="2"/>
  <c r="G32" i="2"/>
  <c r="G35" i="2" s="1"/>
  <c r="M31" i="2"/>
  <c r="M29" i="2" s="1"/>
  <c r="I31" i="2"/>
  <c r="I29" i="2" s="1"/>
  <c r="L33" i="2"/>
  <c r="H33" i="2"/>
  <c r="N32" i="2"/>
  <c r="J32" i="2"/>
  <c r="F32" i="2"/>
  <c r="L31" i="2"/>
  <c r="L29" i="2" s="1"/>
  <c r="H31" i="2"/>
  <c r="H29" i="2" s="1"/>
  <c r="O33" i="2"/>
  <c r="K33" i="2"/>
  <c r="G33" i="2"/>
  <c r="M32" i="2"/>
  <c r="I32" i="2"/>
  <c r="O31" i="2"/>
  <c r="O29" i="2" s="1"/>
  <c r="K31" i="2"/>
  <c r="K29" i="2" s="1"/>
  <c r="E20" i="1"/>
  <c r="E19" i="1"/>
  <c r="B10" i="1"/>
  <c r="B23" i="1"/>
  <c r="B22" i="1"/>
  <c r="E9" i="1"/>
  <c r="B11" i="1"/>
  <c r="F5" i="4" l="1"/>
  <c r="E4" i="4"/>
  <c r="G54" i="2"/>
  <c r="G48" i="2"/>
  <c r="G47" i="2"/>
  <c r="G60" i="2"/>
  <c r="G45" i="2"/>
  <c r="G51" i="2"/>
  <c r="G41" i="2"/>
  <c r="G63" i="2"/>
  <c r="G43" i="2"/>
  <c r="G42" i="2"/>
  <c r="G44" i="2"/>
  <c r="G59" i="2"/>
  <c r="O35" i="2"/>
  <c r="O39" i="2"/>
  <c r="O43" i="2"/>
  <c r="O47" i="2"/>
  <c r="O51" i="2"/>
  <c r="O55" i="2"/>
  <c r="O59" i="2"/>
  <c r="O63" i="2"/>
  <c r="O37" i="2"/>
  <c r="O40" i="2"/>
  <c r="O50" i="2"/>
  <c r="O53" i="2"/>
  <c r="O56" i="2"/>
  <c r="O36" i="2"/>
  <c r="O46" i="2"/>
  <c r="O49" i="2"/>
  <c r="O52" i="2"/>
  <c r="O62" i="2"/>
  <c r="O42" i="2"/>
  <c r="O38" i="2"/>
  <c r="O44" i="2"/>
  <c r="O60" i="2"/>
  <c r="O64" i="2"/>
  <c r="O41" i="2"/>
  <c r="O48" i="2"/>
  <c r="O57" i="2"/>
  <c r="O61" i="2"/>
  <c r="O54" i="2"/>
  <c r="O58" i="2"/>
  <c r="O45" i="2"/>
  <c r="F38" i="2"/>
  <c r="F42" i="2"/>
  <c r="F46" i="2"/>
  <c r="F50" i="2"/>
  <c r="F54" i="2"/>
  <c r="F58" i="2"/>
  <c r="F62" i="2"/>
  <c r="F39" i="2"/>
  <c r="F44" i="2"/>
  <c r="F49" i="2"/>
  <c r="F55" i="2"/>
  <c r="F60" i="2"/>
  <c r="F35" i="2"/>
  <c r="F41" i="2"/>
  <c r="F48" i="2"/>
  <c r="F56" i="2"/>
  <c r="F63" i="2"/>
  <c r="F36" i="2"/>
  <c r="F43" i="2"/>
  <c r="F51" i="2"/>
  <c r="F57" i="2"/>
  <c r="F64" i="2"/>
  <c r="F37" i="2"/>
  <c r="F45" i="2"/>
  <c r="F52" i="2"/>
  <c r="F59" i="2"/>
  <c r="F40" i="2"/>
  <c r="F47" i="2"/>
  <c r="F53" i="2"/>
  <c r="F61" i="2"/>
  <c r="I37" i="2"/>
  <c r="I41" i="2"/>
  <c r="I45" i="2"/>
  <c r="I49" i="2"/>
  <c r="I53" i="2"/>
  <c r="I57" i="2"/>
  <c r="I61" i="2"/>
  <c r="I40" i="2"/>
  <c r="I43" i="2"/>
  <c r="I46" i="2"/>
  <c r="I56" i="2"/>
  <c r="I36" i="2"/>
  <c r="I39" i="2"/>
  <c r="I42" i="2"/>
  <c r="I52" i="2"/>
  <c r="I55" i="2"/>
  <c r="I58" i="2"/>
  <c r="I35" i="2"/>
  <c r="I38" i="2"/>
  <c r="I47" i="2"/>
  <c r="I59" i="2"/>
  <c r="I63" i="2"/>
  <c r="I51" i="2"/>
  <c r="I60" i="2"/>
  <c r="I64" i="2"/>
  <c r="I44" i="2"/>
  <c r="I50" i="2"/>
  <c r="I48" i="2"/>
  <c r="I54" i="2"/>
  <c r="I62" i="2"/>
  <c r="J36" i="2"/>
  <c r="J40" i="2"/>
  <c r="J44" i="2"/>
  <c r="J48" i="2"/>
  <c r="J52" i="2"/>
  <c r="J56" i="2"/>
  <c r="J60" i="2"/>
  <c r="J64" i="2"/>
  <c r="J37" i="2"/>
  <c r="J47" i="2"/>
  <c r="J50" i="2"/>
  <c r="J53" i="2"/>
  <c r="J43" i="2"/>
  <c r="J46" i="2"/>
  <c r="J49" i="2"/>
  <c r="J59" i="2"/>
  <c r="J62" i="2"/>
  <c r="J39" i="2"/>
  <c r="J42" i="2"/>
  <c r="J41" i="2"/>
  <c r="J54" i="2"/>
  <c r="J45" i="2"/>
  <c r="J63" i="2"/>
  <c r="J35" i="2"/>
  <c r="J51" i="2"/>
  <c r="J57" i="2"/>
  <c r="J61" i="2"/>
  <c r="J38" i="2"/>
  <c r="J55" i="2"/>
  <c r="J58" i="2"/>
  <c r="H38" i="2"/>
  <c r="H42" i="2"/>
  <c r="H46" i="2"/>
  <c r="H50" i="2"/>
  <c r="H54" i="2"/>
  <c r="H58" i="2"/>
  <c r="H62" i="2"/>
  <c r="H36" i="2"/>
  <c r="H39" i="2"/>
  <c r="H49" i="2"/>
  <c r="H52" i="2"/>
  <c r="H55" i="2"/>
  <c r="H35" i="2"/>
  <c r="H45" i="2"/>
  <c r="H48" i="2"/>
  <c r="H51" i="2"/>
  <c r="H61" i="2"/>
  <c r="H64" i="2"/>
  <c r="H41" i="2"/>
  <c r="H53" i="2"/>
  <c r="H60" i="2"/>
  <c r="H37" i="2"/>
  <c r="H44" i="2"/>
  <c r="H57" i="2"/>
  <c r="H40" i="2"/>
  <c r="H56" i="2"/>
  <c r="H43" i="2"/>
  <c r="H47" i="2"/>
  <c r="H59" i="2"/>
  <c r="H63" i="2"/>
  <c r="M37" i="2"/>
  <c r="M41" i="2"/>
  <c r="M45" i="2"/>
  <c r="M49" i="2"/>
  <c r="M53" i="2"/>
  <c r="M57" i="2"/>
  <c r="M61" i="2"/>
  <c r="M36" i="2"/>
  <c r="M39" i="2"/>
  <c r="M42" i="2"/>
  <c r="M52" i="2"/>
  <c r="M55" i="2"/>
  <c r="M35" i="2"/>
  <c r="M38" i="2"/>
  <c r="M48" i="2"/>
  <c r="M51" i="2"/>
  <c r="M54" i="2"/>
  <c r="M64" i="2"/>
  <c r="M43" i="2"/>
  <c r="M56" i="2"/>
  <c r="M47" i="2"/>
  <c r="M58" i="2"/>
  <c r="M62" i="2"/>
  <c r="M46" i="2"/>
  <c r="M59" i="2"/>
  <c r="M63" i="2"/>
  <c r="M40" i="2"/>
  <c r="M44" i="2"/>
  <c r="M50" i="2"/>
  <c r="M60" i="2"/>
  <c r="N36" i="2"/>
  <c r="N40" i="2"/>
  <c r="N44" i="2"/>
  <c r="N48" i="2"/>
  <c r="N52" i="2"/>
  <c r="N56" i="2"/>
  <c r="N60" i="2"/>
  <c r="N64" i="2"/>
  <c r="N43" i="2"/>
  <c r="N46" i="2"/>
  <c r="N49" i="2"/>
  <c r="N39" i="2"/>
  <c r="N42" i="2"/>
  <c r="N45" i="2"/>
  <c r="N55" i="2"/>
  <c r="N58" i="2"/>
  <c r="N61" i="2"/>
  <c r="N35" i="2"/>
  <c r="N38" i="2"/>
  <c r="N41" i="2"/>
  <c r="N50" i="2"/>
  <c r="N57" i="2"/>
  <c r="N54" i="2"/>
  <c r="N37" i="2"/>
  <c r="N47" i="2"/>
  <c r="N53" i="2"/>
  <c r="N62" i="2"/>
  <c r="N51" i="2"/>
  <c r="N59" i="2"/>
  <c r="N63" i="2"/>
  <c r="K35" i="2"/>
  <c r="K39" i="2"/>
  <c r="K43" i="2"/>
  <c r="K47" i="2"/>
  <c r="K51" i="2"/>
  <c r="K55" i="2"/>
  <c r="K59" i="2"/>
  <c r="K63" i="2"/>
  <c r="K38" i="2"/>
  <c r="K41" i="2"/>
  <c r="K44" i="2"/>
  <c r="K54" i="2"/>
  <c r="K37" i="2"/>
  <c r="K40" i="2"/>
  <c r="K50" i="2"/>
  <c r="K53" i="2"/>
  <c r="K56" i="2"/>
  <c r="K36" i="2"/>
  <c r="K48" i="2"/>
  <c r="K58" i="2"/>
  <c r="K62" i="2"/>
  <c r="K46" i="2"/>
  <c r="K52" i="2"/>
  <c r="K42" i="2"/>
  <c r="K45" i="2"/>
  <c r="K60" i="2"/>
  <c r="K64" i="2"/>
  <c r="K49" i="2"/>
  <c r="K57" i="2"/>
  <c r="K61" i="2"/>
  <c r="L38" i="2"/>
  <c r="L42" i="2"/>
  <c r="L46" i="2"/>
  <c r="L50" i="2"/>
  <c r="L54" i="2"/>
  <c r="L58" i="2"/>
  <c r="L62" i="2"/>
  <c r="L35" i="2"/>
  <c r="L45" i="2"/>
  <c r="L48" i="2"/>
  <c r="L51" i="2"/>
  <c r="L41" i="2"/>
  <c r="L44" i="2"/>
  <c r="L47" i="2"/>
  <c r="L57" i="2"/>
  <c r="L60" i="2"/>
  <c r="L63" i="2"/>
  <c r="L37" i="2"/>
  <c r="L40" i="2"/>
  <c r="L43" i="2"/>
  <c r="L36" i="2"/>
  <c r="L49" i="2"/>
  <c r="L55" i="2"/>
  <c r="L61" i="2"/>
  <c r="L39" i="2"/>
  <c r="L53" i="2"/>
  <c r="L59" i="2"/>
  <c r="L52" i="2"/>
  <c r="L56" i="2"/>
  <c r="L64" i="2"/>
  <c r="G37" i="2"/>
  <c r="G40" i="2"/>
  <c r="G46" i="2"/>
  <c r="G52" i="2"/>
  <c r="G64" i="2"/>
  <c r="G50" i="2"/>
  <c r="G56" i="2"/>
  <c r="G61" i="2"/>
  <c r="G49" i="2"/>
  <c r="G58" i="2"/>
  <c r="G62" i="2"/>
  <c r="G36" i="2"/>
  <c r="G53" i="2"/>
  <c r="G38" i="2"/>
  <c r="G57" i="2"/>
  <c r="G55" i="2"/>
  <c r="G39" i="2"/>
  <c r="C55" i="2" l="1"/>
  <c r="C40" i="2"/>
  <c r="C37" i="2"/>
  <c r="C43" i="2"/>
  <c r="C48" i="2"/>
  <c r="C62" i="2"/>
  <c r="C46" i="2"/>
  <c r="C61" i="2"/>
  <c r="C59" i="2"/>
  <c r="C64" i="2"/>
  <c r="C36" i="2"/>
  <c r="C41" i="2"/>
  <c r="C49" i="2"/>
  <c r="C58" i="2"/>
  <c r="C42" i="2"/>
  <c r="C53" i="2"/>
  <c r="C52" i="2"/>
  <c r="C57" i="2"/>
  <c r="C63" i="2"/>
  <c r="C35" i="2"/>
  <c r="C44" i="2"/>
  <c r="C54" i="2"/>
  <c r="C38" i="2"/>
  <c r="C47" i="2"/>
  <c r="C45" i="2"/>
  <c r="C51" i="2"/>
  <c r="C56" i="2"/>
  <c r="C60" i="2"/>
  <c r="C39" i="2"/>
  <c r="C50" i="2"/>
</calcChain>
</file>

<file path=xl/sharedStrings.xml><?xml version="1.0" encoding="utf-8"?>
<sst xmlns="http://schemas.openxmlformats.org/spreadsheetml/2006/main" count="144" uniqueCount="85">
  <si>
    <t>payoffs and profits at the expiration for stock and option positions</t>
    <phoneticPr fontId="1" type="noConversion"/>
  </si>
  <si>
    <t>Payoff of call positions at expiration</t>
    <phoneticPr fontId="1" type="noConversion"/>
  </si>
  <si>
    <t>Profit of stock positions</t>
    <phoneticPr fontId="1" type="noConversion"/>
  </si>
  <si>
    <t>exercise price</t>
    <phoneticPr fontId="1" type="noConversion"/>
  </si>
  <si>
    <t>purchase price/share</t>
    <phoneticPr fontId="1" type="noConversion"/>
  </si>
  <si>
    <t>premium/share</t>
    <phoneticPr fontId="1" type="noConversion"/>
  </si>
  <si>
    <t>number of lots bought/(sold)</t>
    <phoneticPr fontId="1" type="noConversion"/>
  </si>
  <si>
    <t>number of contracts bought/(sold)</t>
    <phoneticPr fontId="1" type="noConversion"/>
  </si>
  <si>
    <t>shares/lot</t>
    <phoneticPr fontId="1" type="noConversion"/>
  </si>
  <si>
    <t>shares/contract</t>
    <phoneticPr fontId="1" type="noConversion"/>
  </si>
  <si>
    <t>price on future date</t>
    <phoneticPr fontId="1" type="noConversion"/>
  </si>
  <si>
    <t>stock price at options expiration</t>
    <phoneticPr fontId="1" type="noConversion"/>
  </si>
  <si>
    <t>payoff</t>
    <phoneticPr fontId="1" type="noConversion"/>
  </si>
  <si>
    <t>profit</t>
    <phoneticPr fontId="1" type="noConversion"/>
  </si>
  <si>
    <t>profit/(loss)</t>
    <phoneticPr fontId="1" type="noConversion"/>
  </si>
  <si>
    <t>payoff of put positions at expiration</t>
    <phoneticPr fontId="1" type="noConversion"/>
  </si>
  <si>
    <t>payoff of options position at expiration</t>
    <phoneticPr fontId="1" type="noConversion"/>
  </si>
  <si>
    <t>option type indicator, call=1, put=-1</t>
    <phoneticPr fontId="1" type="noConversion"/>
  </si>
  <si>
    <t>data input instructions</t>
    <phoneticPr fontId="1" type="noConversion"/>
  </si>
  <si>
    <t>position type</t>
    <phoneticPr fontId="1" type="noConversion"/>
  </si>
  <si>
    <t>enter c,p or s</t>
    <phoneticPr fontId="1" type="noConversion"/>
  </si>
  <si>
    <t>exercise price</t>
    <phoneticPr fontId="1" type="noConversion"/>
  </si>
  <si>
    <t>for stock enter purchase price</t>
    <phoneticPr fontId="1" type="noConversion"/>
  </si>
  <si>
    <t>position size</t>
    <phoneticPr fontId="1" type="noConversion"/>
  </si>
  <si>
    <t>enter number of contracts or lots</t>
    <phoneticPr fontId="1" type="noConversion"/>
  </si>
  <si>
    <t>premium</t>
    <phoneticPr fontId="1" type="noConversion"/>
  </si>
  <si>
    <t>for stock positions leave blank</t>
    <phoneticPr fontId="1" type="noConversion"/>
  </si>
  <si>
    <t>position</t>
    <phoneticPr fontId="1" type="noConversion"/>
  </si>
  <si>
    <t>exercise</t>
    <phoneticPr fontId="1" type="noConversion"/>
  </si>
  <si>
    <t>premium/</t>
    <phoneticPr fontId="1" type="noConversion"/>
  </si>
  <si>
    <t>type</t>
    <phoneticPr fontId="1" type="noConversion"/>
  </si>
  <si>
    <t>price</t>
    <phoneticPr fontId="1" type="noConversion"/>
  </si>
  <si>
    <t>size</t>
    <phoneticPr fontId="1" type="noConversion"/>
  </si>
  <si>
    <t>share</t>
    <phoneticPr fontId="1" type="noConversion"/>
  </si>
  <si>
    <t>c</t>
    <phoneticPr fontId="1" type="noConversion"/>
  </si>
  <si>
    <t>shares/lot or contract</t>
    <phoneticPr fontId="1" type="noConversion"/>
  </si>
  <si>
    <t>lowest termianl price</t>
    <phoneticPr fontId="1" type="noConversion"/>
  </si>
  <si>
    <t>terminal price step size</t>
    <phoneticPr fontId="1" type="noConversion"/>
  </si>
  <si>
    <t>terminal</t>
    <phoneticPr fontId="1" type="noConversion"/>
  </si>
  <si>
    <t>portfolio</t>
    <phoneticPr fontId="1" type="noConversion"/>
  </si>
  <si>
    <t>profit</t>
    <phoneticPr fontId="1" type="noConversion"/>
  </si>
  <si>
    <t>position type --&gt;</t>
    <phoneticPr fontId="1" type="noConversion"/>
  </si>
  <si>
    <t>exercise price --&gt;</t>
    <phoneticPr fontId="1" type="noConversion"/>
  </si>
  <si>
    <t>postion size ---&gt;</t>
    <phoneticPr fontId="1" type="noConversion"/>
  </si>
  <si>
    <t>c</t>
    <phoneticPr fontId="1" type="noConversion"/>
  </si>
  <si>
    <t>p</t>
    <phoneticPr fontId="1" type="noConversion"/>
  </si>
  <si>
    <t>s</t>
    <phoneticPr fontId="1" type="noConversion"/>
  </si>
  <si>
    <t>positionType ---&gt;</t>
    <phoneticPr fontId="1" type="noConversion"/>
  </si>
  <si>
    <t>Fig:  Profit characteristics of a bullish call spread trading strategy. This strategy involves buying one or more calls at one strike price and selling an equal number of calls at a higher strike price.</t>
    <phoneticPr fontId="1" type="noConversion"/>
  </si>
  <si>
    <t>Profit of a portfolio of one stock and options on the stock at option expiration</t>
    <phoneticPr fontId="1" type="noConversion"/>
  </si>
  <si>
    <t xml:space="preserve">type </t>
    <phoneticPr fontId="1" type="noConversion"/>
  </si>
  <si>
    <t>Total Premium paid to all options</t>
    <phoneticPr fontId="1" type="noConversion"/>
  </si>
  <si>
    <t xml:space="preserve">          Fig:  Profit characteristics</t>
    <phoneticPr fontId="1" type="noConversion"/>
  </si>
  <si>
    <t>stock price (S)</t>
    <phoneticPr fontId="1" type="noConversion"/>
  </si>
  <si>
    <t>Price</t>
    <phoneticPr fontId="1" type="noConversion"/>
  </si>
  <si>
    <t>exercise price (K)</t>
    <phoneticPr fontId="1" type="noConversion"/>
  </si>
  <si>
    <t>delta</t>
    <phoneticPr fontId="1" type="noConversion"/>
  </si>
  <si>
    <t>dividend yield (q)</t>
    <phoneticPr fontId="1" type="noConversion"/>
  </si>
  <si>
    <t>theta (per year)</t>
    <phoneticPr fontId="1" type="noConversion"/>
  </si>
  <si>
    <t>time to maturity (T, years)</t>
    <phoneticPr fontId="1" type="noConversion"/>
  </si>
  <si>
    <t>gamma</t>
    <phoneticPr fontId="1" type="noConversion"/>
  </si>
  <si>
    <t>volatility (V)</t>
    <phoneticPr fontId="1" type="noConversion"/>
  </si>
  <si>
    <t>vega</t>
    <phoneticPr fontId="1" type="noConversion"/>
  </si>
  <si>
    <t>interest rate (rr)</t>
    <phoneticPr fontId="1" type="noConversion"/>
  </si>
  <si>
    <t>rho</t>
    <phoneticPr fontId="1" type="noConversion"/>
  </si>
  <si>
    <t>call</t>
    <phoneticPr fontId="1" type="noConversion"/>
  </si>
  <si>
    <t>put</t>
    <phoneticPr fontId="1" type="noConversion"/>
  </si>
  <si>
    <t>intermediate variable</t>
    <phoneticPr fontId="1" type="noConversion"/>
  </si>
  <si>
    <t>put from put-call parity</t>
    <phoneticPr fontId="1" type="noConversion"/>
  </si>
  <si>
    <t>exp(-rt)     (ert ---&gt;)</t>
    <phoneticPr fontId="1" type="noConversion"/>
  </si>
  <si>
    <t>exp(-qt)     (eqt ---&gt;)</t>
    <phoneticPr fontId="1" type="noConversion"/>
  </si>
  <si>
    <t>(r-q+.5*V^2) (radj---&gt;)</t>
    <phoneticPr fontId="1" type="noConversion"/>
  </si>
  <si>
    <t>d1           (dOne---&gt;)</t>
    <phoneticPr fontId="1" type="noConversion"/>
  </si>
  <si>
    <t>N(d1)        (NdOne--&gt;)</t>
    <phoneticPr fontId="1" type="noConversion"/>
  </si>
  <si>
    <t>N(-d1)       (NmdOne--&gt;)</t>
    <phoneticPr fontId="1" type="noConversion"/>
  </si>
  <si>
    <t>d2           (dTwo---&gt;)</t>
    <phoneticPr fontId="1" type="noConversion"/>
  </si>
  <si>
    <t>N(d2)        (NdTwo--&gt;)</t>
    <phoneticPr fontId="1" type="noConversion"/>
  </si>
  <si>
    <t>N(-d2)       (NmdTwo--&gt;)</t>
    <phoneticPr fontId="1" type="noConversion"/>
  </si>
  <si>
    <t>Exp(-(d1^2)/2)/(2*Pi)^.5  (NpdOne--&gt;)</t>
    <phoneticPr fontId="1" type="noConversion"/>
  </si>
  <si>
    <t>The Black-Scholes-Merton Equation for Option Valuation</t>
    <phoneticPr fontId="1" type="noConversion"/>
  </si>
  <si>
    <t>where</t>
    <phoneticPr fontId="1" type="noConversion"/>
  </si>
  <si>
    <t>Put-Call Parity</t>
    <phoneticPr fontId="1" type="noConversion"/>
  </si>
  <si>
    <t>Greek Letters</t>
    <phoneticPr fontId="1" type="noConversion"/>
  </si>
  <si>
    <t>for calls</t>
    <phoneticPr fontId="1" type="noConversion"/>
  </si>
  <si>
    <t>for puts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</si>
</sst>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b/>
      <sz val="11"/>
      <color theme="1"/>
      <name val="Consolas"/>
      <family val="3"/>
    </font>
    <font>
      <b/>
      <sz val="15"/>
      <color theme="3"/>
      <name val="Consolas"/>
      <family val="2"/>
      <charset val="134"/>
    </font>
    <font>
      <sz val="11"/>
      <color rgb="FFFF0000"/>
      <name val="Consolas"/>
      <family val="2"/>
      <charset val="134"/>
    </font>
    <font>
      <sz val="8"/>
      <color theme="1"/>
      <name val="Consolas"/>
      <family val="2"/>
      <charset val="134"/>
    </font>
    <font>
      <sz val="8"/>
      <color theme="1"/>
      <name val="Consolas"/>
      <family val="3"/>
    </font>
    <font>
      <sz val="11"/>
      <color rgb="FFFF0000"/>
      <name val="Consolas"/>
      <family val="3"/>
    </font>
    <font>
      <sz val="16"/>
      <color rgb="FF7030A0"/>
      <name val="Consola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7" borderId="0" xfId="0" applyFill="1" applyBorder="1">
      <alignment vertical="center"/>
    </xf>
    <xf numFmtId="0" fontId="3" fillId="3" borderId="2" xfId="1" applyFill="1" applyBorder="1" applyAlignment="1">
      <alignment horizontal="center" vertical="center"/>
    </xf>
    <xf numFmtId="9" fontId="0" fillId="2" borderId="0" xfId="0" applyNumberFormat="1" applyFill="1">
      <alignment vertical="center"/>
    </xf>
    <xf numFmtId="0" fontId="4" fillId="8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0" xfId="0" applyNumberFormat="1" applyFill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Portfolio Profit vs. Stock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Portfolio Profit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OptionPortfolioProfit!$B$35:$B$64</c:f>
              <c:numCache>
                <c:formatCode>General</c:formatCode>
                <c:ptCount val="30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</c:numCache>
            </c:numRef>
          </c:cat>
          <c:val>
            <c:numRef>
              <c:f>OptionPortfolioProfit!$C$35:$C$64</c:f>
              <c:numCache>
                <c:formatCode>General</c:formatCode>
                <c:ptCount val="30"/>
                <c:pt idx="0">
                  <c:v>-930</c:v>
                </c:pt>
                <c:pt idx="1">
                  <c:v>-930</c:v>
                </c:pt>
                <c:pt idx="2">
                  <c:v>-930</c:v>
                </c:pt>
                <c:pt idx="3">
                  <c:v>-930</c:v>
                </c:pt>
                <c:pt idx="4">
                  <c:v>-930</c:v>
                </c:pt>
                <c:pt idx="5">
                  <c:v>-930</c:v>
                </c:pt>
                <c:pt idx="6">
                  <c:v>-930</c:v>
                </c:pt>
                <c:pt idx="7">
                  <c:v>-930</c:v>
                </c:pt>
                <c:pt idx="8">
                  <c:v>-930</c:v>
                </c:pt>
                <c:pt idx="9">
                  <c:v>-930</c:v>
                </c:pt>
                <c:pt idx="10">
                  <c:v>-930</c:v>
                </c:pt>
                <c:pt idx="11">
                  <c:v>-630</c:v>
                </c:pt>
                <c:pt idx="12">
                  <c:v>-330</c:v>
                </c:pt>
                <c:pt idx="13">
                  <c:v>-30</c:v>
                </c:pt>
                <c:pt idx="14">
                  <c:v>270</c:v>
                </c:pt>
                <c:pt idx="15">
                  <c:v>570</c:v>
                </c:pt>
                <c:pt idx="16">
                  <c:v>870</c:v>
                </c:pt>
                <c:pt idx="17">
                  <c:v>1170</c:v>
                </c:pt>
                <c:pt idx="18">
                  <c:v>1470</c:v>
                </c:pt>
                <c:pt idx="19">
                  <c:v>1770</c:v>
                </c:pt>
                <c:pt idx="20">
                  <c:v>2070</c:v>
                </c:pt>
                <c:pt idx="21">
                  <c:v>2070</c:v>
                </c:pt>
                <c:pt idx="22">
                  <c:v>2070</c:v>
                </c:pt>
                <c:pt idx="23">
                  <c:v>2070</c:v>
                </c:pt>
                <c:pt idx="24">
                  <c:v>2070</c:v>
                </c:pt>
                <c:pt idx="25">
                  <c:v>2070</c:v>
                </c:pt>
                <c:pt idx="26">
                  <c:v>2070</c:v>
                </c:pt>
                <c:pt idx="27">
                  <c:v>2070</c:v>
                </c:pt>
                <c:pt idx="28">
                  <c:v>2070</c:v>
                </c:pt>
                <c:pt idx="29">
                  <c:v>2070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9258736"/>
        <c:axId val="389260976"/>
      </c:lineChart>
      <c:catAx>
        <c:axId val="38925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260976"/>
        <c:crosses val="autoZero"/>
        <c:auto val="1"/>
        <c:lblAlgn val="ctr"/>
        <c:lblOffset val="100"/>
        <c:noMultiLvlLbl val="0"/>
      </c:catAx>
      <c:valAx>
        <c:axId val="3892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25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Portfolio Profit vs. Stock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4410005672403348E-2"/>
          <c:y val="0.12078703703703704"/>
          <c:w val="0.9158235999994905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OptionPortfolioProfit_v2!$B$35:$B$64</c:f>
              <c:numCache>
                <c:formatCode>General</c:formatCode>
                <c:ptCount val="3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</c:numCache>
            </c:numRef>
          </c:cat>
          <c:val>
            <c:numRef>
              <c:f>OptionPortfolioProfit_v2!$B$35:$B$64</c:f>
              <c:numCache>
                <c:formatCode>General</c:formatCode>
                <c:ptCount val="3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</c:numCache>
            </c:numRef>
          </c:val>
          <c:smooth val="0"/>
        </c:ser>
        <c:ser>
          <c:idx val="1"/>
          <c:order val="1"/>
          <c:tx>
            <c:v>Profit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OptionPortfolioProfit_v2!$B$35:$B$64</c:f>
              <c:numCache>
                <c:formatCode>General</c:formatCode>
                <c:ptCount val="30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  <c:pt idx="26">
                  <c:v>310</c:v>
                </c:pt>
                <c:pt idx="27">
                  <c:v>320</c:v>
                </c:pt>
                <c:pt idx="28">
                  <c:v>330</c:v>
                </c:pt>
                <c:pt idx="29">
                  <c:v>340</c:v>
                </c:pt>
              </c:numCache>
            </c:numRef>
          </c:cat>
          <c:val>
            <c:numRef>
              <c:f>OptionPortfolioProfit_v2!$C$35:$C$64</c:f>
              <c:numCache>
                <c:formatCode>General</c:formatCode>
                <c:ptCount val="30"/>
                <c:pt idx="0">
                  <c:v>-8800</c:v>
                </c:pt>
                <c:pt idx="1">
                  <c:v>-7800</c:v>
                </c:pt>
                <c:pt idx="2">
                  <c:v>-6800</c:v>
                </c:pt>
                <c:pt idx="3">
                  <c:v>-5800</c:v>
                </c:pt>
                <c:pt idx="4">
                  <c:v>-4800</c:v>
                </c:pt>
                <c:pt idx="5">
                  <c:v>-3800</c:v>
                </c:pt>
                <c:pt idx="6">
                  <c:v>-2800</c:v>
                </c:pt>
                <c:pt idx="7">
                  <c:v>-1800</c:v>
                </c:pt>
                <c:pt idx="8">
                  <c:v>-800</c:v>
                </c:pt>
                <c:pt idx="9">
                  <c:v>200</c:v>
                </c:pt>
                <c:pt idx="10">
                  <c:v>1200</c:v>
                </c:pt>
                <c:pt idx="11">
                  <c:v>1200</c:v>
                </c:pt>
                <c:pt idx="12">
                  <c:v>1200</c:v>
                </c:pt>
                <c:pt idx="13">
                  <c:v>1200</c:v>
                </c:pt>
                <c:pt idx="14">
                  <c:v>1200</c:v>
                </c:pt>
                <c:pt idx="15">
                  <c:v>1200</c:v>
                </c:pt>
                <c:pt idx="16">
                  <c:v>1200</c:v>
                </c:pt>
                <c:pt idx="17">
                  <c:v>1200</c:v>
                </c:pt>
                <c:pt idx="18">
                  <c:v>1200</c:v>
                </c:pt>
                <c:pt idx="19">
                  <c:v>1200</c:v>
                </c:pt>
                <c:pt idx="20">
                  <c:v>1200</c:v>
                </c:pt>
                <c:pt idx="21">
                  <c:v>200</c:v>
                </c:pt>
                <c:pt idx="22">
                  <c:v>-800</c:v>
                </c:pt>
                <c:pt idx="23">
                  <c:v>-1800</c:v>
                </c:pt>
                <c:pt idx="24">
                  <c:v>-2800</c:v>
                </c:pt>
                <c:pt idx="25">
                  <c:v>-3800</c:v>
                </c:pt>
                <c:pt idx="26">
                  <c:v>-4800</c:v>
                </c:pt>
                <c:pt idx="27">
                  <c:v>-5800</c:v>
                </c:pt>
                <c:pt idx="28">
                  <c:v>-6800</c:v>
                </c:pt>
                <c:pt idx="29">
                  <c:v>-7800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386096"/>
        <c:axId val="397388896"/>
      </c:lineChart>
      <c:catAx>
        <c:axId val="3973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7388896"/>
        <c:crosses val="autoZero"/>
        <c:auto val="1"/>
        <c:lblAlgn val="ctr"/>
        <c:lblOffset val="100"/>
        <c:noMultiLvlLbl val="0"/>
      </c:catAx>
      <c:valAx>
        <c:axId val="3973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73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819149</xdr:colOff>
      <xdr:row>11</xdr:row>
      <xdr:rowOff>52387</xdr:rowOff>
    </xdr:from>
    <xdr:to>
      <xdr:col>14</xdr:col>
      <xdr:colOff>600075</xdr:colOff>
      <xdr:row>25</xdr:row>
      <xdr:rowOff>128587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371474</xdr:colOff>
      <xdr:row>11</xdr:row>
      <xdr:rowOff>42862</xdr:rowOff>
    </xdr:from>
    <xdr:to>
      <xdr:col>14</xdr:col>
      <xdr:colOff>628650</xdr:colOff>
      <xdr:row>25</xdr:row>
      <xdr:rowOff>119062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552449</xdr:colOff>
          <xdr:row>14</xdr:row>
          <xdr:rowOff>190499</xdr:rowOff>
        </xdr:from>
        <xdr:to>
          <xdr:col>5</xdr:col>
          <xdr:colOff>838200</xdr:colOff>
          <xdr:row>19</xdr:row>
          <xdr:rowOff>87841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F59D56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5</xdr:col>
          <xdr:colOff>847725</xdr:colOff>
          <xdr:row>31</xdr:row>
          <xdr:rowOff>58554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F59D56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6</xdr:col>
          <xdr:colOff>4233</xdr:colOff>
          <xdr:row>35</xdr:row>
          <xdr:rowOff>123825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F59D56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488783</xdr:colOff>
          <xdr:row>17</xdr:row>
          <xdr:rowOff>123825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47624</xdr:colOff>
          <xdr:row>16</xdr:row>
          <xdr:rowOff>85725</xdr:rowOff>
        </xdr:from>
        <xdr:to>
          <xdr:col>17</xdr:col>
          <xdr:colOff>395537</xdr:colOff>
          <xdr:row>18</xdr:row>
          <xdr:rowOff>38100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0</xdr:rowOff>
        </xdr:from>
        <xdr:to>
          <xdr:col>13</xdr:col>
          <xdr:colOff>171450</xdr:colOff>
          <xdr:row>23</xdr:row>
          <xdr:rowOff>159840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114299</xdr:colOff>
          <xdr:row>21</xdr:row>
          <xdr:rowOff>0</xdr:rowOff>
        </xdr:from>
        <xdr:to>
          <xdr:col>21</xdr:col>
          <xdr:colOff>216080</xdr:colOff>
          <xdr:row>24</xdr:row>
          <xdr:rowOff>9525</xdr:rowOff>
        </xdr:to>
        <xdr:sp macro="" textlink="">
          <xdr:nvSpPr>
            <xdr:cNvPr id="4105" name="Object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25</xdr:row>
          <xdr:rowOff>0</xdr:rowOff>
        </xdr:from>
        <xdr:to>
          <xdr:col>14</xdr:col>
          <xdr:colOff>335692</xdr:colOff>
          <xdr:row>28</xdr:row>
          <xdr:rowOff>85725</xdr:rowOff>
        </xdr:to>
        <xdr:sp macro="" textlink="">
          <xdr:nvSpPr>
            <xdr:cNvPr id="4106" name="Object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30</xdr:row>
          <xdr:rowOff>38100</xdr:rowOff>
        </xdr:from>
        <xdr:to>
          <xdr:col>14</xdr:col>
          <xdr:colOff>676275</xdr:colOff>
          <xdr:row>34</xdr:row>
          <xdr:rowOff>171450</xdr:rowOff>
        </xdr:to>
        <xdr:sp macro="" textlink="">
          <xdr:nvSpPr>
            <xdr:cNvPr id="4108" name="Object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34</xdr:row>
          <xdr:rowOff>190499</xdr:rowOff>
        </xdr:from>
        <xdr:to>
          <xdr:col>14</xdr:col>
          <xdr:colOff>364331</xdr:colOff>
          <xdr:row>38</xdr:row>
          <xdr:rowOff>0</xdr:rowOff>
        </xdr:to>
        <xdr:sp macro="" textlink="">
          <xdr:nvSpPr>
            <xdr:cNvPr id="4109" name="Object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609600</xdr:colOff>
          <xdr:row>39</xdr:row>
          <xdr:rowOff>66675</xdr:rowOff>
        </xdr:from>
        <xdr:to>
          <xdr:col>12</xdr:col>
          <xdr:colOff>189999</xdr:colOff>
          <xdr:row>42</xdr:row>
          <xdr:rowOff>152400</xdr:rowOff>
        </xdr:to>
        <xdr:sp macro="" textlink="">
          <xdr:nvSpPr>
            <xdr:cNvPr id="4110" name="Object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38</xdr:row>
          <xdr:rowOff>114300</xdr:rowOff>
        </xdr:from>
        <xdr:to>
          <xdr:col>20</xdr:col>
          <xdr:colOff>323850</xdr:colOff>
          <xdr:row>42</xdr:row>
          <xdr:rowOff>43947</xdr:rowOff>
        </xdr:to>
        <xdr:sp macro="" textlink="">
          <xdr:nvSpPr>
            <xdr:cNvPr id="4111" name="Object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4D6A0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26" Type="http://schemas.openxmlformats.org/officeDocument/2006/relationships/image" Target="../media/image12.emf"/><Relationship Id="rId3" Type="http://schemas.openxmlformats.org/officeDocument/2006/relationships/oleObject" Target="../embeddings/oleObject1.bin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1.emf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Relationship Id="rId22" Type="http://schemas.openxmlformats.org/officeDocument/2006/relationships/image" Target="../media/image10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3"/>
  <sheetViews>
    <sheetView workbookViewId="0">
      <selection activeCell="E14" sqref="E14"/>
    </sheetView>
  </sheetViews>
  <sheetFormatPr defaultRowHeight="15" x14ac:dyDescent="0.25"/>
  <cols>
    <col min="1" max="1" width="41.25" customWidth="1"/>
    <col min="4" max="4" width="40.625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D3" s="1" t="s">
        <v>2</v>
      </c>
    </row>
    <row r="4" spans="1:5" x14ac:dyDescent="0.25">
      <c r="A4" t="s">
        <v>3</v>
      </c>
      <c r="B4" s="2">
        <v>30</v>
      </c>
      <c r="D4" t="s">
        <v>4</v>
      </c>
      <c r="E4" s="2">
        <v>25</v>
      </c>
    </row>
    <row r="5" spans="1:5" x14ac:dyDescent="0.25">
      <c r="A5" t="s">
        <v>5</v>
      </c>
      <c r="B5" s="2">
        <v>1.3</v>
      </c>
      <c r="D5" t="s">
        <v>6</v>
      </c>
      <c r="E5" s="2">
        <v>5</v>
      </c>
    </row>
    <row r="6" spans="1:5" x14ac:dyDescent="0.25">
      <c r="A6" t="s">
        <v>7</v>
      </c>
      <c r="B6" s="2">
        <v>2</v>
      </c>
      <c r="D6" t="s">
        <v>8</v>
      </c>
      <c r="E6" s="2">
        <v>100</v>
      </c>
    </row>
    <row r="7" spans="1:5" x14ac:dyDescent="0.25">
      <c r="A7" t="s">
        <v>9</v>
      </c>
      <c r="B7" s="2">
        <v>100</v>
      </c>
      <c r="D7" t="s">
        <v>10</v>
      </c>
      <c r="E7" s="2">
        <v>40</v>
      </c>
    </row>
    <row r="8" spans="1:5" x14ac:dyDescent="0.25">
      <c r="A8" t="s">
        <v>11</v>
      </c>
      <c r="B8" s="2">
        <v>40</v>
      </c>
    </row>
    <row r="9" spans="1:5" x14ac:dyDescent="0.25">
      <c r="D9" t="s">
        <v>14</v>
      </c>
      <c r="E9">
        <f>($E$7-$E$4)*$E$5*$E$6</f>
        <v>7500</v>
      </c>
    </row>
    <row r="10" spans="1:5" x14ac:dyDescent="0.25">
      <c r="A10" t="s">
        <v>12</v>
      </c>
      <c r="B10">
        <f>IF($B$8&gt;$B$4,($B$8-$B$4)*$B$6*$B$7,0)</f>
        <v>2000</v>
      </c>
    </row>
    <row r="11" spans="1:5" x14ac:dyDescent="0.25">
      <c r="A11" t="s">
        <v>13</v>
      </c>
      <c r="B11">
        <f>$B$10-$B$5*$B$6*$B$7</f>
        <v>1740</v>
      </c>
      <c r="D11" s="1" t="s">
        <v>16</v>
      </c>
    </row>
    <row r="12" spans="1:5" x14ac:dyDescent="0.25">
      <c r="D12" t="s">
        <v>17</v>
      </c>
      <c r="E12" s="2">
        <v>-1</v>
      </c>
    </row>
    <row r="13" spans="1:5" x14ac:dyDescent="0.25">
      <c r="D13" t="s">
        <v>3</v>
      </c>
      <c r="E13" s="2">
        <v>30</v>
      </c>
    </row>
    <row r="14" spans="1:5" x14ac:dyDescent="0.25">
      <c r="A14" s="1" t="s">
        <v>15</v>
      </c>
      <c r="D14" t="s">
        <v>5</v>
      </c>
      <c r="E14" s="2">
        <v>5.8</v>
      </c>
    </row>
    <row r="15" spans="1:5" x14ac:dyDescent="0.25">
      <c r="D15" t="s">
        <v>7</v>
      </c>
      <c r="E15" s="2">
        <v>3</v>
      </c>
    </row>
    <row r="16" spans="1:5" x14ac:dyDescent="0.25">
      <c r="A16" t="s">
        <v>3</v>
      </c>
      <c r="B16" s="2">
        <v>30</v>
      </c>
      <c r="D16" t="s">
        <v>9</v>
      </c>
      <c r="E16" s="2">
        <v>100</v>
      </c>
    </row>
    <row r="17" spans="1:5" x14ac:dyDescent="0.25">
      <c r="A17" t="s">
        <v>5</v>
      </c>
      <c r="B17" s="2">
        <v>5.8</v>
      </c>
      <c r="D17" t="s">
        <v>11</v>
      </c>
      <c r="E17" s="2">
        <v>40</v>
      </c>
    </row>
    <row r="18" spans="1:5" x14ac:dyDescent="0.25">
      <c r="A18" t="s">
        <v>7</v>
      </c>
      <c r="B18" s="2">
        <v>3</v>
      </c>
    </row>
    <row r="19" spans="1:5" x14ac:dyDescent="0.25">
      <c r="A19" t="s">
        <v>9</v>
      </c>
      <c r="B19" s="2">
        <v>100</v>
      </c>
      <c r="D19" t="s">
        <v>12</v>
      </c>
      <c r="E19">
        <f>MAX(0,E12*(E17-E13))*E15*E16</f>
        <v>0</v>
      </c>
    </row>
    <row r="20" spans="1:5" x14ac:dyDescent="0.25">
      <c r="A20" t="s">
        <v>11</v>
      </c>
      <c r="B20" s="2">
        <v>40</v>
      </c>
      <c r="D20" t="s">
        <v>14</v>
      </c>
      <c r="E20">
        <f>E19-E14*E15*E16</f>
        <v>-1739.9999999999998</v>
      </c>
    </row>
    <row r="22" spans="1:5" x14ac:dyDescent="0.25">
      <c r="A22" t="s">
        <v>12</v>
      </c>
      <c r="B22">
        <f>MAX(0,$B$16-$B$20)*$B$18*$B$19</f>
        <v>0</v>
      </c>
    </row>
    <row r="23" spans="1:5" x14ac:dyDescent="0.25">
      <c r="A23" t="s">
        <v>14</v>
      </c>
      <c r="B23">
        <f>$B$22-$B$17*$B$18*$B$19</f>
        <v>-1739.9999999999998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64"/>
  <sheetViews>
    <sheetView topLeftCell="A35" workbookViewId="0">
      <selection activeCell="C13" sqref="A1:XFD1048576"/>
    </sheetView>
  </sheetViews>
  <sheetFormatPr defaultRowHeight="15" x14ac:dyDescent="0.25"/>
  <cols>
    <col min="1" max="1" width="12.125" style="4" customWidth="1"/>
    <col min="2" max="2" width="13.625" style="4" customWidth="1"/>
    <col min="3" max="4" width="9" style="4"/>
    <col min="5" max="5" width="17.875" style="4" customWidth="1"/>
    <col min="6" max="16384" width="9" style="4"/>
  </cols>
  <sheetData>
    <row r="1" spans="1:15" ht="39.75" customHeight="1" thickBot="1" x14ac:dyDescent="0.3">
      <c r="A1" s="1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75" thickTop="1" x14ac:dyDescent="0.25"/>
    <row r="3" spans="1:15" x14ac:dyDescent="0.25">
      <c r="A3" s="3" t="s">
        <v>18</v>
      </c>
    </row>
    <row r="4" spans="1:15" x14ac:dyDescent="0.25">
      <c r="A4" s="4" t="s">
        <v>19</v>
      </c>
      <c r="C4" s="4" t="s">
        <v>20</v>
      </c>
    </row>
    <row r="5" spans="1:15" x14ac:dyDescent="0.25">
      <c r="A5" s="4" t="s">
        <v>21</v>
      </c>
      <c r="C5" s="4" t="s">
        <v>22</v>
      </c>
    </row>
    <row r="6" spans="1:15" x14ac:dyDescent="0.25">
      <c r="A6" s="4" t="s">
        <v>23</v>
      </c>
      <c r="C6" s="4" t="s">
        <v>24</v>
      </c>
    </row>
    <row r="7" spans="1:15" x14ac:dyDescent="0.25">
      <c r="A7" s="4" t="s">
        <v>25</v>
      </c>
      <c r="C7" s="4" t="s">
        <v>26</v>
      </c>
    </row>
    <row r="10" spans="1:15" x14ac:dyDescent="0.25">
      <c r="A10" s="3" t="s">
        <v>27</v>
      </c>
      <c r="B10" s="3" t="s">
        <v>28</v>
      </c>
      <c r="C10" s="3" t="s">
        <v>27</v>
      </c>
      <c r="D10" s="3" t="s">
        <v>29</v>
      </c>
    </row>
    <row r="11" spans="1:15" x14ac:dyDescent="0.25">
      <c r="A11" s="3" t="s">
        <v>30</v>
      </c>
      <c r="B11" s="3" t="s">
        <v>31</v>
      </c>
      <c r="C11" s="3" t="s">
        <v>32</v>
      </c>
      <c r="D11" s="3" t="s">
        <v>33</v>
      </c>
    </row>
    <row r="13" spans="1:15" x14ac:dyDescent="0.25">
      <c r="A13" s="5" t="s">
        <v>34</v>
      </c>
      <c r="B13" s="5">
        <v>40</v>
      </c>
      <c r="C13" s="5">
        <v>3</v>
      </c>
      <c r="D13" s="5">
        <v>4.8</v>
      </c>
    </row>
    <row r="14" spans="1:15" x14ac:dyDescent="0.25">
      <c r="A14" s="5" t="s">
        <v>34</v>
      </c>
      <c r="B14" s="5">
        <v>50</v>
      </c>
      <c r="C14" s="5">
        <v>-3</v>
      </c>
      <c r="D14" s="5">
        <v>1.7</v>
      </c>
    </row>
    <row r="15" spans="1:15" x14ac:dyDescent="0.25">
      <c r="A15" s="5" t="s">
        <v>34</v>
      </c>
      <c r="B15" s="5">
        <v>45</v>
      </c>
      <c r="C15" s="5">
        <v>0</v>
      </c>
      <c r="D15" s="5">
        <v>1</v>
      </c>
    </row>
    <row r="16" spans="1:15" x14ac:dyDescent="0.25">
      <c r="A16" s="5" t="s">
        <v>44</v>
      </c>
      <c r="B16" s="5">
        <v>40</v>
      </c>
      <c r="C16" s="5">
        <v>0</v>
      </c>
      <c r="D16" s="5"/>
    </row>
    <row r="17" spans="1:15" x14ac:dyDescent="0.25">
      <c r="A17" s="5" t="s">
        <v>45</v>
      </c>
      <c r="B17" s="5">
        <v>30</v>
      </c>
      <c r="C17" s="5">
        <v>0</v>
      </c>
      <c r="D17" s="5">
        <v>0</v>
      </c>
    </row>
    <row r="18" spans="1:15" x14ac:dyDescent="0.25">
      <c r="A18" s="5" t="s">
        <v>45</v>
      </c>
      <c r="B18" s="5">
        <v>45</v>
      </c>
      <c r="C18" s="5">
        <v>0</v>
      </c>
      <c r="D18" s="5"/>
    </row>
    <row r="19" spans="1:15" x14ac:dyDescent="0.25">
      <c r="A19" s="5" t="s">
        <v>45</v>
      </c>
      <c r="B19" s="5">
        <v>35</v>
      </c>
      <c r="C19" s="5">
        <v>0</v>
      </c>
      <c r="D19" s="5"/>
    </row>
    <row r="20" spans="1:15" x14ac:dyDescent="0.25">
      <c r="A20" s="5" t="s">
        <v>45</v>
      </c>
      <c r="B20" s="5">
        <v>40</v>
      </c>
      <c r="C20" s="5">
        <v>0</v>
      </c>
      <c r="D20" s="5"/>
    </row>
    <row r="21" spans="1:15" x14ac:dyDescent="0.25">
      <c r="A21" s="5" t="s">
        <v>46</v>
      </c>
      <c r="B21" s="5">
        <v>35</v>
      </c>
      <c r="C21" s="5">
        <v>0</v>
      </c>
      <c r="D21" s="5"/>
    </row>
    <row r="22" spans="1:15" x14ac:dyDescent="0.25">
      <c r="A22" s="5" t="s">
        <v>46</v>
      </c>
      <c r="B22" s="5">
        <v>40</v>
      </c>
      <c r="C22" s="5">
        <v>0</v>
      </c>
      <c r="D22" s="5"/>
    </row>
    <row r="24" spans="1:15" x14ac:dyDescent="0.25">
      <c r="A24" s="4" t="s">
        <v>35</v>
      </c>
      <c r="D24" s="6">
        <v>100</v>
      </c>
    </row>
    <row r="25" spans="1:15" x14ac:dyDescent="0.25">
      <c r="A25" s="4" t="s">
        <v>36</v>
      </c>
      <c r="D25" s="6">
        <v>30</v>
      </c>
    </row>
    <row r="26" spans="1:15" x14ac:dyDescent="0.25">
      <c r="A26" s="4" t="s">
        <v>37</v>
      </c>
      <c r="D26" s="6">
        <v>1</v>
      </c>
      <c r="F26" s="8" t="s">
        <v>48</v>
      </c>
      <c r="G26" s="9"/>
      <c r="H26" s="9"/>
      <c r="I26" s="9"/>
      <c r="J26" s="9"/>
      <c r="K26" s="9"/>
      <c r="L26" s="9"/>
      <c r="M26" s="9"/>
      <c r="N26" s="9"/>
      <c r="O26" s="9"/>
    </row>
    <row r="27" spans="1:15" ht="48.75" customHeight="1" x14ac:dyDescent="0.25"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9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E29" s="7" t="s">
        <v>47</v>
      </c>
      <c r="F29" s="7">
        <f>IF(F31="c",1,IF(F31="p",-1,0))</f>
        <v>1</v>
      </c>
      <c r="G29" s="7">
        <f t="shared" ref="G29:O29" si="0">IF(G31="c",1,IF(G31="p",-1,0))</f>
        <v>1</v>
      </c>
      <c r="H29" s="7">
        <f t="shared" si="0"/>
        <v>1</v>
      </c>
      <c r="I29" s="7">
        <f t="shared" si="0"/>
        <v>1</v>
      </c>
      <c r="J29" s="7">
        <f t="shared" si="0"/>
        <v>-1</v>
      </c>
      <c r="K29" s="7">
        <f t="shared" si="0"/>
        <v>-1</v>
      </c>
      <c r="L29" s="7">
        <f t="shared" si="0"/>
        <v>-1</v>
      </c>
      <c r="M29" s="7">
        <f t="shared" si="0"/>
        <v>-1</v>
      </c>
      <c r="N29" s="7">
        <f t="shared" si="0"/>
        <v>0</v>
      </c>
      <c r="O29" s="7">
        <f t="shared" si="0"/>
        <v>0</v>
      </c>
    </row>
    <row r="31" spans="1:15" x14ac:dyDescent="0.25">
      <c r="E31" s="4" t="s">
        <v>41</v>
      </c>
      <c r="F31" s="5" t="str">
        <f t="array" ref="F31:O33">TRANSPOSE(A13:C22)</f>
        <v>c</v>
      </c>
      <c r="G31" s="5" t="str">
        <v>c</v>
      </c>
      <c r="H31" s="5" t="str">
        <v>c</v>
      </c>
      <c r="I31" s="5" t="str">
        <v>c</v>
      </c>
      <c r="J31" s="5" t="str">
        <v>p</v>
      </c>
      <c r="K31" s="5" t="str">
        <v>p</v>
      </c>
      <c r="L31" s="5" t="str">
        <v>p</v>
      </c>
      <c r="M31" s="5" t="str">
        <v>p</v>
      </c>
      <c r="N31" s="5" t="str">
        <v>s</v>
      </c>
      <c r="O31" s="5" t="str">
        <v>s</v>
      </c>
    </row>
    <row r="32" spans="1:15" x14ac:dyDescent="0.25">
      <c r="B32" s="4" t="s">
        <v>38</v>
      </c>
      <c r="C32" s="4" t="s">
        <v>39</v>
      </c>
      <c r="E32" s="4" t="s">
        <v>42</v>
      </c>
      <c r="F32" s="5">
        <v>40</v>
      </c>
      <c r="G32" s="5">
        <v>50</v>
      </c>
      <c r="H32" s="5">
        <v>45</v>
      </c>
      <c r="I32" s="5">
        <v>40</v>
      </c>
      <c r="J32" s="5">
        <v>30</v>
      </c>
      <c r="K32" s="5">
        <v>45</v>
      </c>
      <c r="L32" s="5">
        <v>35</v>
      </c>
      <c r="M32" s="5">
        <v>40</v>
      </c>
      <c r="N32" s="5">
        <v>35</v>
      </c>
      <c r="O32" s="5">
        <v>40</v>
      </c>
    </row>
    <row r="33" spans="2:15" x14ac:dyDescent="0.25">
      <c r="B33" s="4" t="s">
        <v>31</v>
      </c>
      <c r="C33" s="4" t="s">
        <v>40</v>
      </c>
      <c r="E33" s="4" t="s">
        <v>43</v>
      </c>
      <c r="F33" s="5">
        <v>3</v>
      </c>
      <c r="G33" s="5">
        <v>-3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5" spans="2:15" x14ac:dyDescent="0.25">
      <c r="B35" s="4">
        <f>$D$25</f>
        <v>30</v>
      </c>
      <c r="C35" s="4">
        <f t="array" ref="C35">SUM(F35:O35)-SUM($C$13:$C$22*cSize*$D$13:$D$22)</f>
        <v>-930</v>
      </c>
      <c r="F35" s="4">
        <f>IF(F$29*($B35-F$32)&gt;0,F$29*($B35-F$32)*F$33*cSize,0) + IF(F$29=0,($B35-F$32)*F$33*cSize,0)</f>
        <v>0</v>
      </c>
      <c r="G35" s="4">
        <f>IF(G$29*($B35-G$32)&gt;0,G$29*($B35-G$32)*G$33*cSize,0) + IF(G$29=0,($B35-G$32)*G$33*cSize,0)</f>
        <v>0</v>
      </c>
      <c r="H35" s="4">
        <f>IF(H$29*($B35-H$32)&gt;0,H$29*($B35-H$32)*H$33*cSize,0) + IF(H$29=0,($B35-H$32)*H$33*cSize,0)</f>
        <v>0</v>
      </c>
      <c r="I35" s="4">
        <f>IF(I$29*($B35-I$32)&gt;0,I$29*($B35-I$32)*I$33*cSize,0) + IF(I$29=0,($B35-I$32)*I$33*cSize,0)</f>
        <v>0</v>
      </c>
      <c r="J35" s="4">
        <f>IF(J$29*($B35-J$32)&gt;0,J$29*($B35-J$32)*J$33*cSize,0) + IF(J$29=0,($B35-J$32)*J$33*cSize,0)</f>
        <v>0</v>
      </c>
      <c r="K35" s="4">
        <f>IF(K$29*($B35-K$32)&gt;0,K$29*($B35-K$32)*K$33*cSize,0) + IF(K$29=0,($B35-K$32)*K$33*cSize,0)</f>
        <v>0</v>
      </c>
      <c r="L35" s="4">
        <f>IF(L$29*($B35-L$32)&gt;0,L$29*($B35-L$32)*L$33*cSize,0) + IF(L$29=0,($B35-L$32)*L$33*cSize,0)</f>
        <v>0</v>
      </c>
      <c r="M35" s="4">
        <f>IF(M$29*($B35-M$32)&gt;0,M$29*($B35-M$32)*M$33*cSize,0) + IF(M$29=0,($B35-M$32)*M$33*cSize,0)</f>
        <v>0</v>
      </c>
      <c r="N35" s="4">
        <f>IF(N$29*($B35-N$32)&gt;0,N$29*($B35-N$32)*N$33*cSize,0) + IF(N$29=0,($B35-N$32)*N$33*cSize,0)</f>
        <v>0</v>
      </c>
      <c r="O35" s="4">
        <f>IF(O$29*($B35-O$32)&gt;0,O$29*($B35-O$32)*O$33*cSize,0) + IF(O$29=0,($B35-O$32)*O$33*cSize,0)</f>
        <v>0</v>
      </c>
    </row>
    <row r="36" spans="2:15" x14ac:dyDescent="0.25">
      <c r="B36" s="4">
        <f>B35+$D$26</f>
        <v>31</v>
      </c>
      <c r="C36" s="4">
        <f t="array" ref="C36">SUM(F36:O36)-SUM($C$13:$C$22*cSize*$D$13:$D$22)</f>
        <v>-930</v>
      </c>
      <c r="F36" s="4">
        <f>IF(F$29*($B36-F$32)&gt;0,F$29*($B36-F$32)*F$33*cSize,0) + IF(F$29=0,($B36-F$32)*F$33*cSize,0)</f>
        <v>0</v>
      </c>
      <c r="G36" s="4">
        <f>IF(G$29*($B36-G$32)&gt;0,G$29*($B36-G$32)*G$33*cSize,0) + IF(G$29=0,($B36-G$32)*G$33*cSize,0)</f>
        <v>0</v>
      </c>
      <c r="H36" s="4">
        <f>IF(H$29*($B36-H$32)&gt;0,H$29*($B36-H$32)*H$33*cSize,0) + IF(H$29=0,($B36-H$32)*H$33*cSize,0)</f>
        <v>0</v>
      </c>
      <c r="I36" s="4">
        <f>IF(I$29*($B36-I$32)&gt;0,I$29*($B36-I$32)*I$33*cSize,0) + IF(I$29=0,($B36-I$32)*I$33*cSize,0)</f>
        <v>0</v>
      </c>
      <c r="J36" s="4">
        <f>IF(J$29*($B36-J$32)&gt;0,J$29*($B36-J$32)*J$33*cSize,0) + IF(J$29=0,($B36-J$32)*J$33*cSize,0)</f>
        <v>0</v>
      </c>
      <c r="K36" s="4">
        <f>IF(K$29*($B36-K$32)&gt;0,K$29*($B36-K$32)*K$33*cSize,0) + IF(K$29=0,($B36-K$32)*K$33*cSize,0)</f>
        <v>0</v>
      </c>
      <c r="L36" s="4">
        <f>IF(L$29*($B36-L$32)&gt;0,L$29*($B36-L$32)*L$33*cSize,0) + IF(L$29=0,($B36-L$32)*L$33*cSize,0)</f>
        <v>0</v>
      </c>
      <c r="M36" s="4">
        <f>IF(M$29*($B36-M$32)&gt;0,M$29*($B36-M$32)*M$33*cSize,0) + IF(M$29=0,($B36-M$32)*M$33*cSize,0)</f>
        <v>0</v>
      </c>
      <c r="N36" s="4">
        <f>IF(N$29*($B36-N$32)&gt;0,N$29*($B36-N$32)*N$33*cSize,0) + IF(N$29=0,($B36-N$32)*N$33*cSize,0)</f>
        <v>0</v>
      </c>
      <c r="O36" s="4">
        <f>IF(O$29*($B36-O$32)&gt;0,O$29*($B36-O$32)*O$33*cSize,0) + IF(O$29=0,($B36-O$32)*O$33*cSize,0)</f>
        <v>0</v>
      </c>
    </row>
    <row r="37" spans="2:15" x14ac:dyDescent="0.25">
      <c r="B37" s="4">
        <f t="shared" ref="B37:B64" si="1">B36+$D$26</f>
        <v>32</v>
      </c>
      <c r="C37" s="4">
        <f t="array" ref="C37">SUM(F37:O37)-SUM($C$13:$C$22*cSize*$D$13:$D$22)</f>
        <v>-930</v>
      </c>
      <c r="F37" s="4">
        <f>IF(F$29*($B37-F$32)&gt;0,F$29*($B37-F$32)*F$33*cSize,0) + IF(F$29=0,($B37-F$32)*F$33*cSize,0)</f>
        <v>0</v>
      </c>
      <c r="G37" s="4">
        <f>IF(G$29*($B37-G$32)&gt;0,G$29*($B37-G$32)*G$33*cSize,0) + IF(G$29=0,($B37-G$32)*G$33*cSize,0)</f>
        <v>0</v>
      </c>
      <c r="H37" s="4">
        <f>IF(H$29*($B37-H$32)&gt;0,H$29*($B37-H$32)*H$33*cSize,0) + IF(H$29=0,($B37-H$32)*H$33*cSize,0)</f>
        <v>0</v>
      </c>
      <c r="I37" s="4">
        <f>IF(I$29*($B37-I$32)&gt;0,I$29*($B37-I$32)*I$33*cSize,0) + IF(I$29=0,($B37-I$32)*I$33*cSize,0)</f>
        <v>0</v>
      </c>
      <c r="J37" s="4">
        <f>IF(J$29*($B37-J$32)&gt;0,J$29*($B37-J$32)*J$33*cSize,0) + IF(J$29=0,($B37-J$32)*J$33*cSize,0)</f>
        <v>0</v>
      </c>
      <c r="K37" s="4">
        <f>IF(K$29*($B37-K$32)&gt;0,K$29*($B37-K$32)*K$33*cSize,0) + IF(K$29=0,($B37-K$32)*K$33*cSize,0)</f>
        <v>0</v>
      </c>
      <c r="L37" s="4">
        <f>IF(L$29*($B37-L$32)&gt;0,L$29*($B37-L$32)*L$33*cSize,0) + IF(L$29=0,($B37-L$32)*L$33*cSize,0)</f>
        <v>0</v>
      </c>
      <c r="M37" s="4">
        <f>IF(M$29*($B37-M$32)&gt;0,M$29*($B37-M$32)*M$33*cSize,0) + IF(M$29=0,($B37-M$32)*M$33*cSize,0)</f>
        <v>0</v>
      </c>
      <c r="N37" s="4">
        <f>IF(N$29*($B37-N$32)&gt;0,N$29*($B37-N$32)*N$33*cSize,0) + IF(N$29=0,($B37-N$32)*N$33*cSize,0)</f>
        <v>0</v>
      </c>
      <c r="O37" s="4">
        <f>IF(O$29*($B37-O$32)&gt;0,O$29*($B37-O$32)*O$33*cSize,0) + IF(O$29=0,($B37-O$32)*O$33*cSize,0)</f>
        <v>0</v>
      </c>
    </row>
    <row r="38" spans="2:15" x14ac:dyDescent="0.25">
      <c r="B38" s="4">
        <f t="shared" si="1"/>
        <v>33</v>
      </c>
      <c r="C38" s="4">
        <f t="array" ref="C38">SUM(F38:O38)-SUM($C$13:$C$22*cSize*$D$13:$D$22)</f>
        <v>-930</v>
      </c>
      <c r="F38" s="4">
        <f>IF(F$29*($B38-F$32)&gt;0,F$29*($B38-F$32)*F$33*cSize,0) + IF(F$29=0,($B38-F$32)*F$33*cSize,0)</f>
        <v>0</v>
      </c>
      <c r="G38" s="4">
        <f>IF(G$29*($B38-G$32)&gt;0,G$29*($B38-G$32)*G$33*cSize,0) + IF(G$29=0,($B38-G$32)*G$33*cSize,0)</f>
        <v>0</v>
      </c>
      <c r="H38" s="4">
        <f>IF(H$29*($B38-H$32)&gt;0,H$29*($B38-H$32)*H$33*cSize,0) + IF(H$29=0,($B38-H$32)*H$33*cSize,0)</f>
        <v>0</v>
      </c>
      <c r="I38" s="4">
        <f>IF(I$29*($B38-I$32)&gt;0,I$29*($B38-I$32)*I$33*cSize,0) + IF(I$29=0,($B38-I$32)*I$33*cSize,0)</f>
        <v>0</v>
      </c>
      <c r="J38" s="4">
        <f>IF(J$29*($B38-J$32)&gt;0,J$29*($B38-J$32)*J$33*cSize,0) + IF(J$29=0,($B38-J$32)*J$33*cSize,0)</f>
        <v>0</v>
      </c>
      <c r="K38" s="4">
        <f>IF(K$29*($B38-K$32)&gt;0,K$29*($B38-K$32)*K$33*cSize,0) + IF(K$29=0,($B38-K$32)*K$33*cSize,0)</f>
        <v>0</v>
      </c>
      <c r="L38" s="4">
        <f>IF(L$29*($B38-L$32)&gt;0,L$29*($B38-L$32)*L$33*cSize,0) + IF(L$29=0,($B38-L$32)*L$33*cSize,0)</f>
        <v>0</v>
      </c>
      <c r="M38" s="4">
        <f>IF(M$29*($B38-M$32)&gt;0,M$29*($B38-M$32)*M$33*cSize,0) + IF(M$29=0,($B38-M$32)*M$33*cSize,0)</f>
        <v>0</v>
      </c>
      <c r="N38" s="4">
        <f>IF(N$29*($B38-N$32)&gt;0,N$29*($B38-N$32)*N$33*cSize,0) + IF(N$29=0,($B38-N$32)*N$33*cSize,0)</f>
        <v>0</v>
      </c>
      <c r="O38" s="4">
        <f>IF(O$29*($B38-O$32)&gt;0,O$29*($B38-O$32)*O$33*cSize,0) + IF(O$29=0,($B38-O$32)*O$33*cSize,0)</f>
        <v>0</v>
      </c>
    </row>
    <row r="39" spans="2:15" x14ac:dyDescent="0.25">
      <c r="B39" s="4">
        <f t="shared" si="1"/>
        <v>34</v>
      </c>
      <c r="C39" s="4">
        <f t="array" ref="C39">SUM(F39:O39)-SUM($C$13:$C$22*cSize*$D$13:$D$22)</f>
        <v>-930</v>
      </c>
      <c r="F39" s="4">
        <f>IF(F$29*($B39-F$32)&gt;0,F$29*($B39-F$32)*F$33*cSize,0) + IF(F$29=0,($B39-F$32)*F$33*cSize,0)</f>
        <v>0</v>
      </c>
      <c r="G39" s="4">
        <f>IF(G$29*($B39-G$32)&gt;0,G$29*($B39-G$32)*G$33*cSize,0) + IF(G$29=0,($B39-G$32)*G$33*cSize,0)</f>
        <v>0</v>
      </c>
      <c r="H39" s="4">
        <f>IF(H$29*($B39-H$32)&gt;0,H$29*($B39-H$32)*H$33*cSize,0) + IF(H$29=0,($B39-H$32)*H$33*cSize,0)</f>
        <v>0</v>
      </c>
      <c r="I39" s="4">
        <f>IF(I$29*($B39-I$32)&gt;0,I$29*($B39-I$32)*I$33*cSize,0) + IF(I$29=0,($B39-I$32)*I$33*cSize,0)</f>
        <v>0</v>
      </c>
      <c r="J39" s="4">
        <f>IF(J$29*($B39-J$32)&gt;0,J$29*($B39-J$32)*J$33*cSize,0) + IF(J$29=0,($B39-J$32)*J$33*cSize,0)</f>
        <v>0</v>
      </c>
      <c r="K39" s="4">
        <f>IF(K$29*($B39-K$32)&gt;0,K$29*($B39-K$32)*K$33*cSize,0) + IF(K$29=0,($B39-K$32)*K$33*cSize,0)</f>
        <v>0</v>
      </c>
      <c r="L39" s="4">
        <f>IF(L$29*($B39-L$32)&gt;0,L$29*($B39-L$32)*L$33*cSize,0) + IF(L$29=0,($B39-L$32)*L$33*cSize,0)</f>
        <v>0</v>
      </c>
      <c r="M39" s="4">
        <f>IF(M$29*($B39-M$32)&gt;0,M$29*($B39-M$32)*M$33*cSize,0) + IF(M$29=0,($B39-M$32)*M$33*cSize,0)</f>
        <v>0</v>
      </c>
      <c r="N39" s="4">
        <f>IF(N$29*($B39-N$32)&gt;0,N$29*($B39-N$32)*N$33*cSize,0) + IF(N$29=0,($B39-N$32)*N$33*cSize,0)</f>
        <v>0</v>
      </c>
      <c r="O39" s="4">
        <f>IF(O$29*($B39-O$32)&gt;0,O$29*($B39-O$32)*O$33*cSize,0) + IF(O$29=0,($B39-O$32)*O$33*cSize,0)</f>
        <v>0</v>
      </c>
    </row>
    <row r="40" spans="2:15" x14ac:dyDescent="0.25">
      <c r="B40" s="4">
        <f t="shared" si="1"/>
        <v>35</v>
      </c>
      <c r="C40" s="4">
        <f t="array" ref="C40">SUM(F40:O40)-SUM($C$13:$C$22*cSize*$D$13:$D$22)</f>
        <v>-930</v>
      </c>
      <c r="F40" s="4">
        <f>IF(F$29*($B40-F$32)&gt;0,F$29*($B40-F$32)*F$33*cSize,0) + IF(F$29=0,($B40-F$32)*F$33*cSize,0)</f>
        <v>0</v>
      </c>
      <c r="G40" s="4">
        <f>IF(G$29*($B40-G$32)&gt;0,G$29*($B40-G$32)*G$33*cSize,0) + IF(G$29=0,($B40-G$32)*G$33*cSize,0)</f>
        <v>0</v>
      </c>
      <c r="H40" s="4">
        <f>IF(H$29*($B40-H$32)&gt;0,H$29*($B40-H$32)*H$33*cSize,0) + IF(H$29=0,($B40-H$32)*H$33*cSize,0)</f>
        <v>0</v>
      </c>
      <c r="I40" s="4">
        <f>IF(I$29*($B40-I$32)&gt;0,I$29*($B40-I$32)*I$33*cSize,0) + IF(I$29=0,($B40-I$32)*I$33*cSize,0)</f>
        <v>0</v>
      </c>
      <c r="J40" s="4">
        <f>IF(J$29*($B40-J$32)&gt;0,J$29*($B40-J$32)*J$33*cSize,0) + IF(J$29=0,($B40-J$32)*J$33*cSize,0)</f>
        <v>0</v>
      </c>
      <c r="K40" s="4">
        <f>IF(K$29*($B40-K$32)&gt;0,K$29*($B40-K$32)*K$33*cSize,0) + IF(K$29=0,($B40-K$32)*K$33*cSize,0)</f>
        <v>0</v>
      </c>
      <c r="L40" s="4">
        <f>IF(L$29*($B40-L$32)&gt;0,L$29*($B40-L$32)*L$33*cSize,0) + IF(L$29=0,($B40-L$32)*L$33*cSize,0)</f>
        <v>0</v>
      </c>
      <c r="M40" s="4">
        <f>IF(M$29*($B40-M$32)&gt;0,M$29*($B40-M$32)*M$33*cSize,0) + IF(M$29=0,($B40-M$32)*M$33*cSize,0)</f>
        <v>0</v>
      </c>
      <c r="N40" s="4">
        <f>IF(N$29*($B40-N$32)&gt;0,N$29*($B40-N$32)*N$33*cSize,0) + IF(N$29=0,($B40-N$32)*N$33*cSize,0)</f>
        <v>0</v>
      </c>
      <c r="O40" s="4">
        <f>IF(O$29*($B40-O$32)&gt;0,O$29*($B40-O$32)*O$33*cSize,0) + IF(O$29=0,($B40-O$32)*O$33*cSize,0)</f>
        <v>0</v>
      </c>
    </row>
    <row r="41" spans="2:15" x14ac:dyDescent="0.25">
      <c r="B41" s="4">
        <f t="shared" si="1"/>
        <v>36</v>
      </c>
      <c r="C41" s="4">
        <f t="array" ref="C41">SUM(F41:O41)-SUM($C$13:$C$22*cSize*$D$13:$D$22)</f>
        <v>-930</v>
      </c>
      <c r="F41" s="4">
        <f>IF(F$29*($B41-F$32)&gt;0,F$29*($B41-F$32)*F$33*cSize,0) + IF(F$29=0,($B41-F$32)*F$33*cSize,0)</f>
        <v>0</v>
      </c>
      <c r="G41" s="4">
        <f>IF(G$29*($B41-G$32)&gt;0,G$29*($B41-G$32)*G$33*cSize,0) + IF(G$29=0,($B41-G$32)*G$33*cSize,0)</f>
        <v>0</v>
      </c>
      <c r="H41" s="4">
        <f>IF(H$29*($B41-H$32)&gt;0,H$29*($B41-H$32)*H$33*cSize,0) + IF(H$29=0,($B41-H$32)*H$33*cSize,0)</f>
        <v>0</v>
      </c>
      <c r="I41" s="4">
        <f>IF(I$29*($B41-I$32)&gt;0,I$29*($B41-I$32)*I$33*cSize,0) + IF(I$29=0,($B41-I$32)*I$33*cSize,0)</f>
        <v>0</v>
      </c>
      <c r="J41" s="4">
        <f>IF(J$29*($B41-J$32)&gt;0,J$29*($B41-J$32)*J$33*cSize,0) + IF(J$29=0,($B41-J$32)*J$33*cSize,0)</f>
        <v>0</v>
      </c>
      <c r="K41" s="4">
        <f>IF(K$29*($B41-K$32)&gt;0,K$29*($B41-K$32)*K$33*cSize,0) + IF(K$29=0,($B41-K$32)*K$33*cSize,0)</f>
        <v>0</v>
      </c>
      <c r="L41" s="4">
        <f>IF(L$29*($B41-L$32)&gt;0,L$29*($B41-L$32)*L$33*cSize,0) + IF(L$29=0,($B41-L$32)*L$33*cSize,0)</f>
        <v>0</v>
      </c>
      <c r="M41" s="4">
        <f>IF(M$29*($B41-M$32)&gt;0,M$29*($B41-M$32)*M$33*cSize,0) + IF(M$29=0,($B41-M$32)*M$33*cSize,0)</f>
        <v>0</v>
      </c>
      <c r="N41" s="4">
        <f>IF(N$29*($B41-N$32)&gt;0,N$29*($B41-N$32)*N$33*cSize,0) + IF(N$29=0,($B41-N$32)*N$33*cSize,0)</f>
        <v>0</v>
      </c>
      <c r="O41" s="4">
        <f>IF(O$29*($B41-O$32)&gt;0,O$29*($B41-O$32)*O$33*cSize,0) + IF(O$29=0,($B41-O$32)*O$33*cSize,0)</f>
        <v>0</v>
      </c>
    </row>
    <row r="42" spans="2:15" x14ac:dyDescent="0.25">
      <c r="B42" s="4">
        <f t="shared" si="1"/>
        <v>37</v>
      </c>
      <c r="C42" s="4">
        <f t="array" ref="C42">SUM(F42:O42)-SUM($C$13:$C$22*cSize*$D$13:$D$22)</f>
        <v>-930</v>
      </c>
      <c r="F42" s="4">
        <f>IF(F$29*($B42-F$32)&gt;0,F$29*($B42-F$32)*F$33*cSize,0) + IF(F$29=0,($B42-F$32)*F$33*cSize,0)</f>
        <v>0</v>
      </c>
      <c r="G42" s="4">
        <f>IF(G$29*($B42-G$32)&gt;0,G$29*($B42-G$32)*G$33*cSize,0) + IF(G$29=0,($B42-G$32)*G$33*cSize,0)</f>
        <v>0</v>
      </c>
      <c r="H42" s="4">
        <f>IF(H$29*($B42-H$32)&gt;0,H$29*($B42-H$32)*H$33*cSize,0) + IF(H$29=0,($B42-H$32)*H$33*cSize,0)</f>
        <v>0</v>
      </c>
      <c r="I42" s="4">
        <f>IF(I$29*($B42-I$32)&gt;0,I$29*($B42-I$32)*I$33*cSize,0) + IF(I$29=0,($B42-I$32)*I$33*cSize,0)</f>
        <v>0</v>
      </c>
      <c r="J42" s="4">
        <f>IF(J$29*($B42-J$32)&gt;0,J$29*($B42-J$32)*J$33*cSize,0) + IF(J$29=0,($B42-J$32)*J$33*cSize,0)</f>
        <v>0</v>
      </c>
      <c r="K42" s="4">
        <f>IF(K$29*($B42-K$32)&gt;0,K$29*($B42-K$32)*K$33*cSize,0) + IF(K$29=0,($B42-K$32)*K$33*cSize,0)</f>
        <v>0</v>
      </c>
      <c r="L42" s="4">
        <f>IF(L$29*($B42-L$32)&gt;0,L$29*($B42-L$32)*L$33*cSize,0) + IF(L$29=0,($B42-L$32)*L$33*cSize,0)</f>
        <v>0</v>
      </c>
      <c r="M42" s="4">
        <f>IF(M$29*($B42-M$32)&gt;0,M$29*($B42-M$32)*M$33*cSize,0) + IF(M$29=0,($B42-M$32)*M$33*cSize,0)</f>
        <v>0</v>
      </c>
      <c r="N42" s="4">
        <f>IF(N$29*($B42-N$32)&gt;0,N$29*($B42-N$32)*N$33*cSize,0) + IF(N$29=0,($B42-N$32)*N$33*cSize,0)</f>
        <v>0</v>
      </c>
      <c r="O42" s="4">
        <f>IF(O$29*($B42-O$32)&gt;0,O$29*($B42-O$32)*O$33*cSize,0) + IF(O$29=0,($B42-O$32)*O$33*cSize,0)</f>
        <v>0</v>
      </c>
    </row>
    <row r="43" spans="2:15" x14ac:dyDescent="0.25">
      <c r="B43" s="4">
        <f t="shared" si="1"/>
        <v>38</v>
      </c>
      <c r="C43" s="4">
        <f t="array" ref="C43">SUM(F43:O43)-SUM($C$13:$C$22*cSize*$D$13:$D$22)</f>
        <v>-930</v>
      </c>
      <c r="F43" s="4">
        <f>IF(F$29*($B43-F$32)&gt;0,F$29*($B43-F$32)*F$33*cSize,0) + IF(F$29=0,($B43-F$32)*F$33*cSize,0)</f>
        <v>0</v>
      </c>
      <c r="G43" s="4">
        <f>IF(G$29*($B43-G$32)&gt;0,G$29*($B43-G$32)*G$33*cSize,0) + IF(G$29=0,($B43-G$32)*G$33*cSize,0)</f>
        <v>0</v>
      </c>
      <c r="H43" s="4">
        <f>IF(H$29*($B43-H$32)&gt;0,H$29*($B43-H$32)*H$33*cSize,0) + IF(H$29=0,($B43-H$32)*H$33*cSize,0)</f>
        <v>0</v>
      </c>
      <c r="I43" s="4">
        <f>IF(I$29*($B43-I$32)&gt;0,I$29*($B43-I$32)*I$33*cSize,0) + IF(I$29=0,($B43-I$32)*I$33*cSize,0)</f>
        <v>0</v>
      </c>
      <c r="J43" s="4">
        <f>IF(J$29*($B43-J$32)&gt;0,J$29*($B43-J$32)*J$33*cSize,0) + IF(J$29=0,($B43-J$32)*J$33*cSize,0)</f>
        <v>0</v>
      </c>
      <c r="K43" s="4">
        <f>IF(K$29*($B43-K$32)&gt;0,K$29*($B43-K$32)*K$33*cSize,0) + IF(K$29=0,($B43-K$32)*K$33*cSize,0)</f>
        <v>0</v>
      </c>
      <c r="L43" s="4">
        <f>IF(L$29*($B43-L$32)&gt;0,L$29*($B43-L$32)*L$33*cSize,0) + IF(L$29=0,($B43-L$32)*L$33*cSize,0)</f>
        <v>0</v>
      </c>
      <c r="M43" s="4">
        <f>IF(M$29*($B43-M$32)&gt;0,M$29*($B43-M$32)*M$33*cSize,0) + IF(M$29=0,($B43-M$32)*M$33*cSize,0)</f>
        <v>0</v>
      </c>
      <c r="N43" s="4">
        <f>IF(N$29*($B43-N$32)&gt;0,N$29*($B43-N$32)*N$33*cSize,0) + IF(N$29=0,($B43-N$32)*N$33*cSize,0)</f>
        <v>0</v>
      </c>
      <c r="O43" s="4">
        <f>IF(O$29*($B43-O$32)&gt;0,O$29*($B43-O$32)*O$33*cSize,0) + IF(O$29=0,($B43-O$32)*O$33*cSize,0)</f>
        <v>0</v>
      </c>
    </row>
    <row r="44" spans="2:15" x14ac:dyDescent="0.25">
      <c r="B44" s="4">
        <f t="shared" si="1"/>
        <v>39</v>
      </c>
      <c r="C44" s="4">
        <f t="array" ref="C44">SUM(F44:O44)-SUM($C$13:$C$22*cSize*$D$13:$D$22)</f>
        <v>-930</v>
      </c>
      <c r="F44" s="4">
        <f>IF(F$29*($B44-F$32)&gt;0,F$29*($B44-F$32)*F$33*cSize,0) + IF(F$29=0,($B44-F$32)*F$33*cSize,0)</f>
        <v>0</v>
      </c>
      <c r="G44" s="4">
        <f>IF(G$29*($B44-G$32)&gt;0,G$29*($B44-G$32)*G$33*cSize,0) + IF(G$29=0,($B44-G$32)*G$33*cSize,0)</f>
        <v>0</v>
      </c>
      <c r="H44" s="4">
        <f>IF(H$29*($B44-H$32)&gt;0,H$29*($B44-H$32)*H$33*cSize,0) + IF(H$29=0,($B44-H$32)*H$33*cSize,0)</f>
        <v>0</v>
      </c>
      <c r="I44" s="4">
        <f>IF(I$29*($B44-I$32)&gt;0,I$29*($B44-I$32)*I$33*cSize,0) + IF(I$29=0,($B44-I$32)*I$33*cSize,0)</f>
        <v>0</v>
      </c>
      <c r="J44" s="4">
        <f>IF(J$29*($B44-J$32)&gt;0,J$29*($B44-J$32)*J$33*cSize,0) + IF(J$29=0,($B44-J$32)*J$33*cSize,0)</f>
        <v>0</v>
      </c>
      <c r="K44" s="4">
        <f>IF(K$29*($B44-K$32)&gt;0,K$29*($B44-K$32)*K$33*cSize,0) + IF(K$29=0,($B44-K$32)*K$33*cSize,0)</f>
        <v>0</v>
      </c>
      <c r="L44" s="4">
        <f>IF(L$29*($B44-L$32)&gt;0,L$29*($B44-L$32)*L$33*cSize,0) + IF(L$29=0,($B44-L$32)*L$33*cSize,0)</f>
        <v>0</v>
      </c>
      <c r="M44" s="4">
        <f>IF(M$29*($B44-M$32)&gt;0,M$29*($B44-M$32)*M$33*cSize,0) + IF(M$29=0,($B44-M$32)*M$33*cSize,0)</f>
        <v>0</v>
      </c>
      <c r="N44" s="4">
        <f>IF(N$29*($B44-N$32)&gt;0,N$29*($B44-N$32)*N$33*cSize,0) + IF(N$29=0,($B44-N$32)*N$33*cSize,0)</f>
        <v>0</v>
      </c>
      <c r="O44" s="4">
        <f>IF(O$29*($B44-O$32)&gt;0,O$29*($B44-O$32)*O$33*cSize,0) + IF(O$29=0,($B44-O$32)*O$33*cSize,0)</f>
        <v>0</v>
      </c>
    </row>
    <row r="45" spans="2:15" x14ac:dyDescent="0.25">
      <c r="B45" s="4">
        <f t="shared" si="1"/>
        <v>40</v>
      </c>
      <c r="C45" s="4">
        <f t="array" ref="C45">SUM(F45:O45)-SUM($C$13:$C$22*cSize*$D$13:$D$22)</f>
        <v>-930</v>
      </c>
      <c r="F45" s="4">
        <f>IF(F$29*($B45-F$32)&gt;0,F$29*($B45-F$32)*F$33*cSize,0) + IF(F$29=0,($B45-F$32)*F$33*cSize,0)</f>
        <v>0</v>
      </c>
      <c r="G45" s="4">
        <f>IF(G$29*($B45-G$32)&gt;0,G$29*($B45-G$32)*G$33*cSize,0) + IF(G$29=0,($B45-G$32)*G$33*cSize,0)</f>
        <v>0</v>
      </c>
      <c r="H45" s="4">
        <f>IF(H$29*($B45-H$32)&gt;0,H$29*($B45-H$32)*H$33*cSize,0) + IF(H$29=0,($B45-H$32)*H$33*cSize,0)</f>
        <v>0</v>
      </c>
      <c r="I45" s="4">
        <f>IF(I$29*($B45-I$32)&gt;0,I$29*($B45-I$32)*I$33*cSize,0) + IF(I$29=0,($B45-I$32)*I$33*cSize,0)</f>
        <v>0</v>
      </c>
      <c r="J45" s="4">
        <f>IF(J$29*($B45-J$32)&gt;0,J$29*($B45-J$32)*J$33*cSize,0) + IF(J$29=0,($B45-J$32)*J$33*cSize,0)</f>
        <v>0</v>
      </c>
      <c r="K45" s="4">
        <f>IF(K$29*($B45-K$32)&gt;0,K$29*($B45-K$32)*K$33*cSize,0) + IF(K$29=0,($B45-K$32)*K$33*cSize,0)</f>
        <v>0</v>
      </c>
      <c r="L45" s="4">
        <f>IF(L$29*($B45-L$32)&gt;0,L$29*($B45-L$32)*L$33*cSize,0) + IF(L$29=0,($B45-L$32)*L$33*cSize,0)</f>
        <v>0</v>
      </c>
      <c r="M45" s="4">
        <f>IF(M$29*($B45-M$32)&gt;0,M$29*($B45-M$32)*M$33*cSize,0) + IF(M$29=0,($B45-M$32)*M$33*cSize,0)</f>
        <v>0</v>
      </c>
      <c r="N45" s="4">
        <f>IF(N$29*($B45-N$32)&gt;0,N$29*($B45-N$32)*N$33*cSize,0) + IF(N$29=0,($B45-N$32)*N$33*cSize,0)</f>
        <v>0</v>
      </c>
      <c r="O45" s="4">
        <f>IF(O$29*($B45-O$32)&gt;0,O$29*($B45-O$32)*O$33*cSize,0) + IF(O$29=0,($B45-O$32)*O$33*cSize,0)</f>
        <v>0</v>
      </c>
    </row>
    <row r="46" spans="2:15" x14ac:dyDescent="0.25">
      <c r="B46" s="4">
        <f t="shared" si="1"/>
        <v>41</v>
      </c>
      <c r="C46" s="4">
        <f t="array" ref="C46">SUM(F46:O46)-SUM($C$13:$C$22*cSize*$D$13:$D$22)</f>
        <v>-630</v>
      </c>
      <c r="F46" s="4">
        <f>IF(F$29*($B46-F$32)&gt;0,F$29*($B46-F$32)*F$33*cSize,0) + IF(F$29=0,($B46-F$32)*F$33*cSize,0)</f>
        <v>300</v>
      </c>
      <c r="G46" s="4">
        <f>IF(G$29*($B46-G$32)&gt;0,G$29*($B46-G$32)*G$33*cSize,0) + IF(G$29=0,($B46-G$32)*G$33*cSize,0)</f>
        <v>0</v>
      </c>
      <c r="H46" s="4">
        <f>IF(H$29*($B46-H$32)&gt;0,H$29*($B46-H$32)*H$33*cSize,0) + IF(H$29=0,($B46-H$32)*H$33*cSize,0)</f>
        <v>0</v>
      </c>
      <c r="I46" s="4">
        <f>IF(I$29*($B46-I$32)&gt;0,I$29*($B46-I$32)*I$33*cSize,0) + IF(I$29=0,($B46-I$32)*I$33*cSize,0)</f>
        <v>0</v>
      </c>
      <c r="J46" s="4">
        <f>IF(J$29*($B46-J$32)&gt;0,J$29*($B46-J$32)*J$33*cSize,0) + IF(J$29=0,($B46-J$32)*J$33*cSize,0)</f>
        <v>0</v>
      </c>
      <c r="K46" s="4">
        <f>IF(K$29*($B46-K$32)&gt;0,K$29*($B46-K$32)*K$33*cSize,0) + IF(K$29=0,($B46-K$32)*K$33*cSize,0)</f>
        <v>0</v>
      </c>
      <c r="L46" s="4">
        <f>IF(L$29*($B46-L$32)&gt;0,L$29*($B46-L$32)*L$33*cSize,0) + IF(L$29=0,($B46-L$32)*L$33*cSize,0)</f>
        <v>0</v>
      </c>
      <c r="M46" s="4">
        <f>IF(M$29*($B46-M$32)&gt;0,M$29*($B46-M$32)*M$33*cSize,0) + IF(M$29=0,($B46-M$32)*M$33*cSize,0)</f>
        <v>0</v>
      </c>
      <c r="N46" s="4">
        <f>IF(N$29*($B46-N$32)&gt;0,N$29*($B46-N$32)*N$33*cSize,0) + IF(N$29=0,($B46-N$32)*N$33*cSize,0)</f>
        <v>0</v>
      </c>
      <c r="O46" s="4">
        <f>IF(O$29*($B46-O$32)&gt;0,O$29*($B46-O$32)*O$33*cSize,0) + IF(O$29=0,($B46-O$32)*O$33*cSize,0)</f>
        <v>0</v>
      </c>
    </row>
    <row r="47" spans="2:15" x14ac:dyDescent="0.25">
      <c r="B47" s="4">
        <f t="shared" si="1"/>
        <v>42</v>
      </c>
      <c r="C47" s="4">
        <f t="array" ref="C47">SUM(F47:O47)-SUM($C$13:$C$22*cSize*$D$13:$D$22)</f>
        <v>-330</v>
      </c>
      <c r="F47" s="4">
        <f>IF(F$29*($B47-F$32)&gt;0,F$29*($B47-F$32)*F$33*cSize,0) + IF(F$29=0,($B47-F$32)*F$33*cSize,0)</f>
        <v>600</v>
      </c>
      <c r="G47" s="4">
        <f>IF(G$29*($B47-G$32)&gt;0,G$29*($B47-G$32)*G$33*cSize,0) + IF(G$29=0,($B47-G$32)*G$33*cSize,0)</f>
        <v>0</v>
      </c>
      <c r="H47" s="4">
        <f>IF(H$29*($B47-H$32)&gt;0,H$29*($B47-H$32)*H$33*cSize,0) + IF(H$29=0,($B47-H$32)*H$33*cSize,0)</f>
        <v>0</v>
      </c>
      <c r="I47" s="4">
        <f>IF(I$29*($B47-I$32)&gt;0,I$29*($B47-I$32)*I$33*cSize,0) + IF(I$29=0,($B47-I$32)*I$33*cSize,0)</f>
        <v>0</v>
      </c>
      <c r="J47" s="4">
        <f>IF(J$29*($B47-J$32)&gt;0,J$29*($B47-J$32)*J$33*cSize,0) + IF(J$29=0,($B47-J$32)*J$33*cSize,0)</f>
        <v>0</v>
      </c>
      <c r="K47" s="4">
        <f>IF(K$29*($B47-K$32)&gt;0,K$29*($B47-K$32)*K$33*cSize,0) + IF(K$29=0,($B47-K$32)*K$33*cSize,0)</f>
        <v>0</v>
      </c>
      <c r="L47" s="4">
        <f>IF(L$29*($B47-L$32)&gt;0,L$29*($B47-L$32)*L$33*cSize,0) + IF(L$29=0,($B47-L$32)*L$33*cSize,0)</f>
        <v>0</v>
      </c>
      <c r="M47" s="4">
        <f>IF(M$29*($B47-M$32)&gt;0,M$29*($B47-M$32)*M$33*cSize,0) + IF(M$29=0,($B47-M$32)*M$33*cSize,0)</f>
        <v>0</v>
      </c>
      <c r="N47" s="4">
        <f>IF(N$29*($B47-N$32)&gt;0,N$29*($B47-N$32)*N$33*cSize,0) + IF(N$29=0,($B47-N$32)*N$33*cSize,0)</f>
        <v>0</v>
      </c>
      <c r="O47" s="4">
        <f>IF(O$29*($B47-O$32)&gt;0,O$29*($B47-O$32)*O$33*cSize,0) + IF(O$29=0,($B47-O$32)*O$33*cSize,0)</f>
        <v>0</v>
      </c>
    </row>
    <row r="48" spans="2:15" x14ac:dyDescent="0.25">
      <c r="B48" s="4">
        <f t="shared" si="1"/>
        <v>43</v>
      </c>
      <c r="C48" s="4">
        <f t="array" ref="C48">SUM(F48:O48)-SUM($C$13:$C$22*cSize*$D$13:$D$22)</f>
        <v>-30</v>
      </c>
      <c r="F48" s="4">
        <f>IF(F$29*($B48-F$32)&gt;0,F$29*($B48-F$32)*F$33*cSize,0) + IF(F$29=0,($B48-F$32)*F$33*cSize,0)</f>
        <v>900</v>
      </c>
      <c r="G48" s="4">
        <f>IF(G$29*($B48-G$32)&gt;0,G$29*($B48-G$32)*G$33*cSize,0) + IF(G$29=0,($B48-G$32)*G$33*cSize,0)</f>
        <v>0</v>
      </c>
      <c r="H48" s="4">
        <f>IF(H$29*($B48-H$32)&gt;0,H$29*($B48-H$32)*H$33*cSize,0) + IF(H$29=0,($B48-H$32)*H$33*cSize,0)</f>
        <v>0</v>
      </c>
      <c r="I48" s="4">
        <f>IF(I$29*($B48-I$32)&gt;0,I$29*($B48-I$32)*I$33*cSize,0) + IF(I$29=0,($B48-I$32)*I$33*cSize,0)</f>
        <v>0</v>
      </c>
      <c r="J48" s="4">
        <f>IF(J$29*($B48-J$32)&gt;0,J$29*($B48-J$32)*J$33*cSize,0) + IF(J$29=0,($B48-J$32)*J$33*cSize,0)</f>
        <v>0</v>
      </c>
      <c r="K48" s="4">
        <f>IF(K$29*($B48-K$32)&gt;0,K$29*($B48-K$32)*K$33*cSize,0) + IF(K$29=0,($B48-K$32)*K$33*cSize,0)</f>
        <v>0</v>
      </c>
      <c r="L48" s="4">
        <f>IF(L$29*($B48-L$32)&gt;0,L$29*($B48-L$32)*L$33*cSize,0) + IF(L$29=0,($B48-L$32)*L$33*cSize,0)</f>
        <v>0</v>
      </c>
      <c r="M48" s="4">
        <f>IF(M$29*($B48-M$32)&gt;0,M$29*($B48-M$32)*M$33*cSize,0) + IF(M$29=0,($B48-M$32)*M$33*cSize,0)</f>
        <v>0</v>
      </c>
      <c r="N48" s="4">
        <f>IF(N$29*($B48-N$32)&gt;0,N$29*($B48-N$32)*N$33*cSize,0) + IF(N$29=0,($B48-N$32)*N$33*cSize,0)</f>
        <v>0</v>
      </c>
      <c r="O48" s="4">
        <f>IF(O$29*($B48-O$32)&gt;0,O$29*($B48-O$32)*O$33*cSize,0) + IF(O$29=0,($B48-O$32)*O$33*cSize,0)</f>
        <v>0</v>
      </c>
    </row>
    <row r="49" spans="2:15" x14ac:dyDescent="0.25">
      <c r="B49" s="4">
        <f t="shared" si="1"/>
        <v>44</v>
      </c>
      <c r="C49" s="4">
        <f t="array" ref="C49">SUM(F49:O49)-SUM($C$13:$C$22*cSize*$D$13:$D$22)</f>
        <v>270</v>
      </c>
      <c r="F49" s="4">
        <f>IF(F$29*($B49-F$32)&gt;0,F$29*($B49-F$32)*F$33*cSize,0) + IF(F$29=0,($B49-F$32)*F$33*cSize,0)</f>
        <v>1200</v>
      </c>
      <c r="G49" s="4">
        <f>IF(G$29*($B49-G$32)&gt;0,G$29*($B49-G$32)*G$33*cSize,0) + IF(G$29=0,($B49-G$32)*G$33*cSize,0)</f>
        <v>0</v>
      </c>
      <c r="H49" s="4">
        <f>IF(H$29*($B49-H$32)&gt;0,H$29*($B49-H$32)*H$33*cSize,0) + IF(H$29=0,($B49-H$32)*H$33*cSize,0)</f>
        <v>0</v>
      </c>
      <c r="I49" s="4">
        <f>IF(I$29*($B49-I$32)&gt;0,I$29*($B49-I$32)*I$33*cSize,0) + IF(I$29=0,($B49-I$32)*I$33*cSize,0)</f>
        <v>0</v>
      </c>
      <c r="J49" s="4">
        <f>IF(J$29*($B49-J$32)&gt;0,J$29*($B49-J$32)*J$33*cSize,0) + IF(J$29=0,($B49-J$32)*J$33*cSize,0)</f>
        <v>0</v>
      </c>
      <c r="K49" s="4">
        <f>IF(K$29*($B49-K$32)&gt;0,K$29*($B49-K$32)*K$33*cSize,0) + IF(K$29=0,($B49-K$32)*K$33*cSize,0)</f>
        <v>0</v>
      </c>
      <c r="L49" s="4">
        <f>IF(L$29*($B49-L$32)&gt;0,L$29*($B49-L$32)*L$33*cSize,0) + IF(L$29=0,($B49-L$32)*L$33*cSize,0)</f>
        <v>0</v>
      </c>
      <c r="M49" s="4">
        <f>IF(M$29*($B49-M$32)&gt;0,M$29*($B49-M$32)*M$33*cSize,0) + IF(M$29=0,($B49-M$32)*M$33*cSize,0)</f>
        <v>0</v>
      </c>
      <c r="N49" s="4">
        <f>IF(N$29*($B49-N$32)&gt;0,N$29*($B49-N$32)*N$33*cSize,0) + IF(N$29=0,($B49-N$32)*N$33*cSize,0)</f>
        <v>0</v>
      </c>
      <c r="O49" s="4">
        <f>IF(O$29*($B49-O$32)&gt;0,O$29*($B49-O$32)*O$33*cSize,0) + IF(O$29=0,($B49-O$32)*O$33*cSize,0)</f>
        <v>0</v>
      </c>
    </row>
    <row r="50" spans="2:15" x14ac:dyDescent="0.25">
      <c r="B50" s="4">
        <f t="shared" si="1"/>
        <v>45</v>
      </c>
      <c r="C50" s="4">
        <f t="array" ref="C50">SUM(F50:O50)-SUM($C$13:$C$22*cSize*$D$13:$D$22)</f>
        <v>570</v>
      </c>
      <c r="F50" s="4">
        <f>IF(F$29*($B50-F$32)&gt;0,F$29*($B50-F$32)*F$33*cSize,0) + IF(F$29=0,($B50-F$32)*F$33*cSize,0)</f>
        <v>1500</v>
      </c>
      <c r="G50" s="4">
        <f>IF(G$29*($B50-G$32)&gt;0,G$29*($B50-G$32)*G$33*cSize,0) + IF(G$29=0,($B50-G$32)*G$33*cSize,0)</f>
        <v>0</v>
      </c>
      <c r="H50" s="4">
        <f>IF(H$29*($B50-H$32)&gt;0,H$29*($B50-H$32)*H$33*cSize,0) + IF(H$29=0,($B50-H$32)*H$33*cSize,0)</f>
        <v>0</v>
      </c>
      <c r="I50" s="4">
        <f>IF(I$29*($B50-I$32)&gt;0,I$29*($B50-I$32)*I$33*cSize,0) + IF(I$29=0,($B50-I$32)*I$33*cSize,0)</f>
        <v>0</v>
      </c>
      <c r="J50" s="4">
        <f>IF(J$29*($B50-J$32)&gt;0,J$29*($B50-J$32)*J$33*cSize,0) + IF(J$29=0,($B50-J$32)*J$33*cSize,0)</f>
        <v>0</v>
      </c>
      <c r="K50" s="4">
        <f>IF(K$29*($B50-K$32)&gt;0,K$29*($B50-K$32)*K$33*cSize,0) + IF(K$29=0,($B50-K$32)*K$33*cSize,0)</f>
        <v>0</v>
      </c>
      <c r="L50" s="4">
        <f>IF(L$29*($B50-L$32)&gt;0,L$29*($B50-L$32)*L$33*cSize,0) + IF(L$29=0,($B50-L$32)*L$33*cSize,0)</f>
        <v>0</v>
      </c>
      <c r="M50" s="4">
        <f>IF(M$29*($B50-M$32)&gt;0,M$29*($B50-M$32)*M$33*cSize,0) + IF(M$29=0,($B50-M$32)*M$33*cSize,0)</f>
        <v>0</v>
      </c>
      <c r="N50" s="4">
        <f>IF(N$29*($B50-N$32)&gt;0,N$29*($B50-N$32)*N$33*cSize,0) + IF(N$29=0,($B50-N$32)*N$33*cSize,0)</f>
        <v>0</v>
      </c>
      <c r="O50" s="4">
        <f>IF(O$29*($B50-O$32)&gt;0,O$29*($B50-O$32)*O$33*cSize,0) + IF(O$29=0,($B50-O$32)*O$33*cSize,0)</f>
        <v>0</v>
      </c>
    </row>
    <row r="51" spans="2:15" x14ac:dyDescent="0.25">
      <c r="B51" s="4">
        <f t="shared" si="1"/>
        <v>46</v>
      </c>
      <c r="C51" s="4">
        <f t="array" ref="C51">SUM(F51:O51)-SUM($C$13:$C$22*cSize*$D$13:$D$22)</f>
        <v>870</v>
      </c>
      <c r="F51" s="4">
        <f>IF(F$29*($B51-F$32)&gt;0,F$29*($B51-F$32)*F$33*cSize,0) + IF(F$29=0,($B51-F$32)*F$33*cSize,0)</f>
        <v>1800</v>
      </c>
      <c r="G51" s="4">
        <f>IF(G$29*($B51-G$32)&gt;0,G$29*($B51-G$32)*G$33*cSize,0) + IF(G$29=0,($B51-G$32)*G$33*cSize,0)</f>
        <v>0</v>
      </c>
      <c r="H51" s="4">
        <f>IF(H$29*($B51-H$32)&gt;0,H$29*($B51-H$32)*H$33*cSize,0) + IF(H$29=0,($B51-H$32)*H$33*cSize,0)</f>
        <v>0</v>
      </c>
      <c r="I51" s="4">
        <f>IF(I$29*($B51-I$32)&gt;0,I$29*($B51-I$32)*I$33*cSize,0) + IF(I$29=0,($B51-I$32)*I$33*cSize,0)</f>
        <v>0</v>
      </c>
      <c r="J51" s="4">
        <f>IF(J$29*($B51-J$32)&gt;0,J$29*($B51-J$32)*J$33*cSize,0) + IF(J$29=0,($B51-J$32)*J$33*cSize,0)</f>
        <v>0</v>
      </c>
      <c r="K51" s="4">
        <f>IF(K$29*($B51-K$32)&gt;0,K$29*($B51-K$32)*K$33*cSize,0) + IF(K$29=0,($B51-K$32)*K$33*cSize,0)</f>
        <v>0</v>
      </c>
      <c r="L51" s="4">
        <f>IF(L$29*($B51-L$32)&gt;0,L$29*($B51-L$32)*L$33*cSize,0) + IF(L$29=0,($B51-L$32)*L$33*cSize,0)</f>
        <v>0</v>
      </c>
      <c r="M51" s="4">
        <f>IF(M$29*($B51-M$32)&gt;0,M$29*($B51-M$32)*M$33*cSize,0) + IF(M$29=0,($B51-M$32)*M$33*cSize,0)</f>
        <v>0</v>
      </c>
      <c r="N51" s="4">
        <f>IF(N$29*($B51-N$32)&gt;0,N$29*($B51-N$32)*N$33*cSize,0) + IF(N$29=0,($B51-N$32)*N$33*cSize,0)</f>
        <v>0</v>
      </c>
      <c r="O51" s="4">
        <f>IF(O$29*($B51-O$32)&gt;0,O$29*($B51-O$32)*O$33*cSize,0) + IF(O$29=0,($B51-O$32)*O$33*cSize,0)</f>
        <v>0</v>
      </c>
    </row>
    <row r="52" spans="2:15" x14ac:dyDescent="0.25">
      <c r="B52" s="4">
        <f t="shared" si="1"/>
        <v>47</v>
      </c>
      <c r="C52" s="4">
        <f t="array" ref="C52">SUM(F52:O52)-SUM($C$13:$C$22*cSize*$D$13:$D$22)</f>
        <v>1170</v>
      </c>
      <c r="F52" s="4">
        <f>IF(F$29*($B52-F$32)&gt;0,F$29*($B52-F$32)*F$33*cSize,0) + IF(F$29=0,($B52-F$32)*F$33*cSize,0)</f>
        <v>2100</v>
      </c>
      <c r="G52" s="4">
        <f>IF(G$29*($B52-G$32)&gt;0,G$29*($B52-G$32)*G$33*cSize,0) + IF(G$29=0,($B52-G$32)*G$33*cSize,0)</f>
        <v>0</v>
      </c>
      <c r="H52" s="4">
        <f>IF(H$29*($B52-H$32)&gt;0,H$29*($B52-H$32)*H$33*cSize,0) + IF(H$29=0,($B52-H$32)*H$33*cSize,0)</f>
        <v>0</v>
      </c>
      <c r="I52" s="4">
        <f>IF(I$29*($B52-I$32)&gt;0,I$29*($B52-I$32)*I$33*cSize,0) + IF(I$29=0,($B52-I$32)*I$33*cSize,0)</f>
        <v>0</v>
      </c>
      <c r="J52" s="4">
        <f>IF(J$29*($B52-J$32)&gt;0,J$29*($B52-J$32)*J$33*cSize,0) + IF(J$29=0,($B52-J$32)*J$33*cSize,0)</f>
        <v>0</v>
      </c>
      <c r="K52" s="4">
        <f>IF(K$29*($B52-K$32)&gt;0,K$29*($B52-K$32)*K$33*cSize,0) + IF(K$29=0,($B52-K$32)*K$33*cSize,0)</f>
        <v>0</v>
      </c>
      <c r="L52" s="4">
        <f>IF(L$29*($B52-L$32)&gt;0,L$29*($B52-L$32)*L$33*cSize,0) + IF(L$29=0,($B52-L$32)*L$33*cSize,0)</f>
        <v>0</v>
      </c>
      <c r="M52" s="4">
        <f>IF(M$29*($B52-M$32)&gt;0,M$29*($B52-M$32)*M$33*cSize,0) + IF(M$29=0,($B52-M$32)*M$33*cSize,0)</f>
        <v>0</v>
      </c>
      <c r="N52" s="4">
        <f>IF(N$29*($B52-N$32)&gt;0,N$29*($B52-N$32)*N$33*cSize,0) + IF(N$29=0,($B52-N$32)*N$33*cSize,0)</f>
        <v>0</v>
      </c>
      <c r="O52" s="4">
        <f>IF(O$29*($B52-O$32)&gt;0,O$29*($B52-O$32)*O$33*cSize,0) + IF(O$29=0,($B52-O$32)*O$33*cSize,0)</f>
        <v>0</v>
      </c>
    </row>
    <row r="53" spans="2:15" x14ac:dyDescent="0.25">
      <c r="B53" s="4">
        <f t="shared" si="1"/>
        <v>48</v>
      </c>
      <c r="C53" s="4">
        <f t="array" ref="C53">SUM(F53:O53)-SUM($C$13:$C$22*cSize*$D$13:$D$22)</f>
        <v>1470</v>
      </c>
      <c r="F53" s="4">
        <f>IF(F$29*($B53-F$32)&gt;0,F$29*($B53-F$32)*F$33*cSize,0) + IF(F$29=0,($B53-F$32)*F$33*cSize,0)</f>
        <v>2400</v>
      </c>
      <c r="G53" s="4">
        <f>IF(G$29*($B53-G$32)&gt;0,G$29*($B53-G$32)*G$33*cSize,0) + IF(G$29=0,($B53-G$32)*G$33*cSize,0)</f>
        <v>0</v>
      </c>
      <c r="H53" s="4">
        <f>IF(H$29*($B53-H$32)&gt;0,H$29*($B53-H$32)*H$33*cSize,0) + IF(H$29=0,($B53-H$32)*H$33*cSize,0)</f>
        <v>0</v>
      </c>
      <c r="I53" s="4">
        <f>IF(I$29*($B53-I$32)&gt;0,I$29*($B53-I$32)*I$33*cSize,0) + IF(I$29=0,($B53-I$32)*I$33*cSize,0)</f>
        <v>0</v>
      </c>
      <c r="J53" s="4">
        <f>IF(J$29*($B53-J$32)&gt;0,J$29*($B53-J$32)*J$33*cSize,0) + IF(J$29=0,($B53-J$32)*J$33*cSize,0)</f>
        <v>0</v>
      </c>
      <c r="K53" s="4">
        <f>IF(K$29*($B53-K$32)&gt;0,K$29*($B53-K$32)*K$33*cSize,0) + IF(K$29=0,($B53-K$32)*K$33*cSize,0)</f>
        <v>0</v>
      </c>
      <c r="L53" s="4">
        <f>IF(L$29*($B53-L$32)&gt;0,L$29*($B53-L$32)*L$33*cSize,0) + IF(L$29=0,($B53-L$32)*L$33*cSize,0)</f>
        <v>0</v>
      </c>
      <c r="M53" s="4">
        <f>IF(M$29*($B53-M$32)&gt;0,M$29*($B53-M$32)*M$33*cSize,0) + IF(M$29=0,($B53-M$32)*M$33*cSize,0)</f>
        <v>0</v>
      </c>
      <c r="N53" s="4">
        <f>IF(N$29*($B53-N$32)&gt;0,N$29*($B53-N$32)*N$33*cSize,0) + IF(N$29=0,($B53-N$32)*N$33*cSize,0)</f>
        <v>0</v>
      </c>
      <c r="O53" s="4">
        <f>IF(O$29*($B53-O$32)&gt;0,O$29*($B53-O$32)*O$33*cSize,0) + IF(O$29=0,($B53-O$32)*O$33*cSize,0)</f>
        <v>0</v>
      </c>
    </row>
    <row r="54" spans="2:15" x14ac:dyDescent="0.25">
      <c r="B54" s="4">
        <f t="shared" si="1"/>
        <v>49</v>
      </c>
      <c r="C54" s="4">
        <f t="array" ref="C54">SUM(F54:O54)-SUM($C$13:$C$22*cSize*$D$13:$D$22)</f>
        <v>1770</v>
      </c>
      <c r="F54" s="4">
        <f>IF(F$29*($B54-F$32)&gt;0,F$29*($B54-F$32)*F$33*cSize,0) + IF(F$29=0,($B54-F$32)*F$33*cSize,0)</f>
        <v>2700</v>
      </c>
      <c r="G54" s="4">
        <f>IF(G$29*($B54-G$32)&gt;0,G$29*($B54-G$32)*G$33*cSize,0) + IF(G$29=0,($B54-G$32)*G$33*cSize,0)</f>
        <v>0</v>
      </c>
      <c r="H54" s="4">
        <f>IF(H$29*($B54-H$32)&gt;0,H$29*($B54-H$32)*H$33*cSize,0) + IF(H$29=0,($B54-H$32)*H$33*cSize,0)</f>
        <v>0</v>
      </c>
      <c r="I54" s="4">
        <f>IF(I$29*($B54-I$32)&gt;0,I$29*($B54-I$32)*I$33*cSize,0) + IF(I$29=0,($B54-I$32)*I$33*cSize,0)</f>
        <v>0</v>
      </c>
      <c r="J54" s="4">
        <f>IF(J$29*($B54-J$32)&gt;0,J$29*($B54-J$32)*J$33*cSize,0) + IF(J$29=0,($B54-J$32)*J$33*cSize,0)</f>
        <v>0</v>
      </c>
      <c r="K54" s="4">
        <f>IF(K$29*($B54-K$32)&gt;0,K$29*($B54-K$32)*K$33*cSize,0) + IF(K$29=0,($B54-K$32)*K$33*cSize,0)</f>
        <v>0</v>
      </c>
      <c r="L54" s="4">
        <f>IF(L$29*($B54-L$32)&gt;0,L$29*($B54-L$32)*L$33*cSize,0) + IF(L$29=0,($B54-L$32)*L$33*cSize,0)</f>
        <v>0</v>
      </c>
      <c r="M54" s="4">
        <f>IF(M$29*($B54-M$32)&gt;0,M$29*($B54-M$32)*M$33*cSize,0) + IF(M$29=0,($B54-M$32)*M$33*cSize,0)</f>
        <v>0</v>
      </c>
      <c r="N54" s="4">
        <f>IF(N$29*($B54-N$32)&gt;0,N$29*($B54-N$32)*N$33*cSize,0) + IF(N$29=0,($B54-N$32)*N$33*cSize,0)</f>
        <v>0</v>
      </c>
      <c r="O54" s="4">
        <f>IF(O$29*($B54-O$32)&gt;0,O$29*($B54-O$32)*O$33*cSize,0) + IF(O$29=0,($B54-O$32)*O$33*cSize,0)</f>
        <v>0</v>
      </c>
    </row>
    <row r="55" spans="2:15" x14ac:dyDescent="0.25">
      <c r="B55" s="4">
        <f t="shared" si="1"/>
        <v>50</v>
      </c>
      <c r="C55" s="4">
        <f t="array" ref="C55">SUM(F55:O55)-SUM($C$13:$C$22*cSize*$D$13:$D$22)</f>
        <v>2070</v>
      </c>
      <c r="F55" s="4">
        <f>IF(F$29*($B55-F$32)&gt;0,F$29*($B55-F$32)*F$33*cSize,0) + IF(F$29=0,($B55-F$32)*F$33*cSize,0)</f>
        <v>3000</v>
      </c>
      <c r="G55" s="4">
        <f>IF(G$29*($B55-G$32)&gt;0,G$29*($B55-G$32)*G$33*cSize,0) + IF(G$29=0,($B55-G$32)*G$33*cSize,0)</f>
        <v>0</v>
      </c>
      <c r="H55" s="4">
        <f>IF(H$29*($B55-H$32)&gt;0,H$29*($B55-H$32)*H$33*cSize,0) + IF(H$29=0,($B55-H$32)*H$33*cSize,0)</f>
        <v>0</v>
      </c>
      <c r="I55" s="4">
        <f>IF(I$29*($B55-I$32)&gt;0,I$29*($B55-I$32)*I$33*cSize,0) + IF(I$29=0,($B55-I$32)*I$33*cSize,0)</f>
        <v>0</v>
      </c>
      <c r="J55" s="4">
        <f>IF(J$29*($B55-J$32)&gt;0,J$29*($B55-J$32)*J$33*cSize,0) + IF(J$29=0,($B55-J$32)*J$33*cSize,0)</f>
        <v>0</v>
      </c>
      <c r="K55" s="4">
        <f>IF(K$29*($B55-K$32)&gt;0,K$29*($B55-K$32)*K$33*cSize,0) + IF(K$29=0,($B55-K$32)*K$33*cSize,0)</f>
        <v>0</v>
      </c>
      <c r="L55" s="4">
        <f>IF(L$29*($B55-L$32)&gt;0,L$29*($B55-L$32)*L$33*cSize,0) + IF(L$29=0,($B55-L$32)*L$33*cSize,0)</f>
        <v>0</v>
      </c>
      <c r="M55" s="4">
        <f>IF(M$29*($B55-M$32)&gt;0,M$29*($B55-M$32)*M$33*cSize,0) + IF(M$29=0,($B55-M$32)*M$33*cSize,0)</f>
        <v>0</v>
      </c>
      <c r="N55" s="4">
        <f>IF(N$29*($B55-N$32)&gt;0,N$29*($B55-N$32)*N$33*cSize,0) + IF(N$29=0,($B55-N$32)*N$33*cSize,0)</f>
        <v>0</v>
      </c>
      <c r="O55" s="4">
        <f>IF(O$29*($B55-O$32)&gt;0,O$29*($B55-O$32)*O$33*cSize,0) + IF(O$29=0,($B55-O$32)*O$33*cSize,0)</f>
        <v>0</v>
      </c>
    </row>
    <row r="56" spans="2:15" x14ac:dyDescent="0.25">
      <c r="B56" s="4">
        <f t="shared" si="1"/>
        <v>51</v>
      </c>
      <c r="C56" s="4">
        <f t="array" ref="C56">SUM(F56:O56)-SUM($C$13:$C$22*cSize*$D$13:$D$22)</f>
        <v>2070</v>
      </c>
      <c r="F56" s="4">
        <f>IF(F$29*($B56-F$32)&gt;0,F$29*($B56-F$32)*F$33*cSize,0) + IF(F$29=0,($B56-F$32)*F$33*cSize,0)</f>
        <v>3300</v>
      </c>
      <c r="G56" s="4">
        <f>IF(G$29*($B56-G$32)&gt;0,G$29*($B56-G$32)*G$33*cSize,0) + IF(G$29=0,($B56-G$32)*G$33*cSize,0)</f>
        <v>-300</v>
      </c>
      <c r="H56" s="4">
        <f>IF(H$29*($B56-H$32)&gt;0,H$29*($B56-H$32)*H$33*cSize,0) + IF(H$29=0,($B56-H$32)*H$33*cSize,0)</f>
        <v>0</v>
      </c>
      <c r="I56" s="4">
        <f>IF(I$29*($B56-I$32)&gt;0,I$29*($B56-I$32)*I$33*cSize,0) + IF(I$29=0,($B56-I$32)*I$33*cSize,0)</f>
        <v>0</v>
      </c>
      <c r="J56" s="4">
        <f>IF(J$29*($B56-J$32)&gt;0,J$29*($B56-J$32)*J$33*cSize,0) + IF(J$29=0,($B56-J$32)*J$33*cSize,0)</f>
        <v>0</v>
      </c>
      <c r="K56" s="4">
        <f>IF(K$29*($B56-K$32)&gt;0,K$29*($B56-K$32)*K$33*cSize,0) + IF(K$29=0,($B56-K$32)*K$33*cSize,0)</f>
        <v>0</v>
      </c>
      <c r="L56" s="4">
        <f>IF(L$29*($B56-L$32)&gt;0,L$29*($B56-L$32)*L$33*cSize,0) + IF(L$29=0,($B56-L$32)*L$33*cSize,0)</f>
        <v>0</v>
      </c>
      <c r="M56" s="4">
        <f>IF(M$29*($B56-M$32)&gt;0,M$29*($B56-M$32)*M$33*cSize,0) + IF(M$29=0,($B56-M$32)*M$33*cSize,0)</f>
        <v>0</v>
      </c>
      <c r="N56" s="4">
        <f>IF(N$29*($B56-N$32)&gt;0,N$29*($B56-N$32)*N$33*cSize,0) + IF(N$29=0,($B56-N$32)*N$33*cSize,0)</f>
        <v>0</v>
      </c>
      <c r="O56" s="4">
        <f>IF(O$29*($B56-O$32)&gt;0,O$29*($B56-O$32)*O$33*cSize,0) + IF(O$29=0,($B56-O$32)*O$33*cSize,0)</f>
        <v>0</v>
      </c>
    </row>
    <row r="57" spans="2:15" x14ac:dyDescent="0.25">
      <c r="B57" s="4">
        <f t="shared" si="1"/>
        <v>52</v>
      </c>
      <c r="C57" s="4">
        <f t="array" ref="C57">SUM(F57:O57)-SUM($C$13:$C$22*cSize*$D$13:$D$22)</f>
        <v>2070</v>
      </c>
      <c r="F57" s="4">
        <f>IF(F$29*($B57-F$32)&gt;0,F$29*($B57-F$32)*F$33*cSize,0) + IF(F$29=0,($B57-F$32)*F$33*cSize,0)</f>
        <v>3600</v>
      </c>
      <c r="G57" s="4">
        <f>IF(G$29*($B57-G$32)&gt;0,G$29*($B57-G$32)*G$33*cSize,0) + IF(G$29=0,($B57-G$32)*G$33*cSize,0)</f>
        <v>-600</v>
      </c>
      <c r="H57" s="4">
        <f>IF(H$29*($B57-H$32)&gt;0,H$29*($B57-H$32)*H$33*cSize,0) + IF(H$29=0,($B57-H$32)*H$33*cSize,0)</f>
        <v>0</v>
      </c>
      <c r="I57" s="4">
        <f>IF(I$29*($B57-I$32)&gt;0,I$29*($B57-I$32)*I$33*cSize,0) + IF(I$29=0,($B57-I$32)*I$33*cSize,0)</f>
        <v>0</v>
      </c>
      <c r="J57" s="4">
        <f>IF(J$29*($B57-J$32)&gt;0,J$29*($B57-J$32)*J$33*cSize,0) + IF(J$29=0,($B57-J$32)*J$33*cSize,0)</f>
        <v>0</v>
      </c>
      <c r="K57" s="4">
        <f>IF(K$29*($B57-K$32)&gt;0,K$29*($B57-K$32)*K$33*cSize,0) + IF(K$29=0,($B57-K$32)*K$33*cSize,0)</f>
        <v>0</v>
      </c>
      <c r="L57" s="4">
        <f>IF(L$29*($B57-L$32)&gt;0,L$29*($B57-L$32)*L$33*cSize,0) + IF(L$29=0,($B57-L$32)*L$33*cSize,0)</f>
        <v>0</v>
      </c>
      <c r="M57" s="4">
        <f>IF(M$29*($B57-M$32)&gt;0,M$29*($B57-M$32)*M$33*cSize,0) + IF(M$29=0,($B57-M$32)*M$33*cSize,0)</f>
        <v>0</v>
      </c>
      <c r="N57" s="4">
        <f>IF(N$29*($B57-N$32)&gt;0,N$29*($B57-N$32)*N$33*cSize,0) + IF(N$29=0,($B57-N$32)*N$33*cSize,0)</f>
        <v>0</v>
      </c>
      <c r="O57" s="4">
        <f>IF(O$29*($B57-O$32)&gt;0,O$29*($B57-O$32)*O$33*cSize,0) + IF(O$29=0,($B57-O$32)*O$33*cSize,0)</f>
        <v>0</v>
      </c>
    </row>
    <row r="58" spans="2:15" x14ac:dyDescent="0.25">
      <c r="B58" s="4">
        <f t="shared" si="1"/>
        <v>53</v>
      </c>
      <c r="C58" s="4">
        <f t="array" ref="C58">SUM(F58:O58)-SUM($C$13:$C$22*cSize*$D$13:$D$22)</f>
        <v>2070</v>
      </c>
      <c r="F58" s="4">
        <f>IF(F$29*($B58-F$32)&gt;0,F$29*($B58-F$32)*F$33*cSize,0) + IF(F$29=0,($B58-F$32)*F$33*cSize,0)</f>
        <v>3900</v>
      </c>
      <c r="G58" s="4">
        <f>IF(G$29*($B58-G$32)&gt;0,G$29*($B58-G$32)*G$33*cSize,0) + IF(G$29=0,($B58-G$32)*G$33*cSize,0)</f>
        <v>-900</v>
      </c>
      <c r="H58" s="4">
        <f>IF(H$29*($B58-H$32)&gt;0,H$29*($B58-H$32)*H$33*cSize,0) + IF(H$29=0,($B58-H$32)*H$33*cSize,0)</f>
        <v>0</v>
      </c>
      <c r="I58" s="4">
        <f>IF(I$29*($B58-I$32)&gt;0,I$29*($B58-I$32)*I$33*cSize,0) + IF(I$29=0,($B58-I$32)*I$33*cSize,0)</f>
        <v>0</v>
      </c>
      <c r="J58" s="4">
        <f>IF(J$29*($B58-J$32)&gt;0,J$29*($B58-J$32)*J$33*cSize,0) + IF(J$29=0,($B58-J$32)*J$33*cSize,0)</f>
        <v>0</v>
      </c>
      <c r="K58" s="4">
        <f>IF(K$29*($B58-K$32)&gt;0,K$29*($B58-K$32)*K$33*cSize,0) + IF(K$29=0,($B58-K$32)*K$33*cSize,0)</f>
        <v>0</v>
      </c>
      <c r="L58" s="4">
        <f>IF(L$29*($B58-L$32)&gt;0,L$29*($B58-L$32)*L$33*cSize,0) + IF(L$29=0,($B58-L$32)*L$33*cSize,0)</f>
        <v>0</v>
      </c>
      <c r="M58" s="4">
        <f>IF(M$29*($B58-M$32)&gt;0,M$29*($B58-M$32)*M$33*cSize,0) + IF(M$29=0,($B58-M$32)*M$33*cSize,0)</f>
        <v>0</v>
      </c>
      <c r="N58" s="4">
        <f>IF(N$29*($B58-N$32)&gt;0,N$29*($B58-N$32)*N$33*cSize,0) + IF(N$29=0,($B58-N$32)*N$33*cSize,0)</f>
        <v>0</v>
      </c>
      <c r="O58" s="4">
        <f>IF(O$29*($B58-O$32)&gt;0,O$29*($B58-O$32)*O$33*cSize,0) + IF(O$29=0,($B58-O$32)*O$33*cSize,0)</f>
        <v>0</v>
      </c>
    </row>
    <row r="59" spans="2:15" x14ac:dyDescent="0.25">
      <c r="B59" s="4">
        <f t="shared" si="1"/>
        <v>54</v>
      </c>
      <c r="C59" s="4">
        <f t="array" ref="C59">SUM(F59:O59)-SUM($C$13:$C$22*cSize*$D$13:$D$22)</f>
        <v>2070</v>
      </c>
      <c r="F59" s="4">
        <f>IF(F$29*($B59-F$32)&gt;0,F$29*($B59-F$32)*F$33*cSize,0) + IF(F$29=0,($B59-F$32)*F$33*cSize,0)</f>
        <v>4200</v>
      </c>
      <c r="G59" s="4">
        <f>IF(G$29*($B59-G$32)&gt;0,G$29*($B59-G$32)*G$33*cSize,0) + IF(G$29=0,($B59-G$32)*G$33*cSize,0)</f>
        <v>-1200</v>
      </c>
      <c r="H59" s="4">
        <f>IF(H$29*($B59-H$32)&gt;0,H$29*($B59-H$32)*H$33*cSize,0) + IF(H$29=0,($B59-H$32)*H$33*cSize,0)</f>
        <v>0</v>
      </c>
      <c r="I59" s="4">
        <f>IF(I$29*($B59-I$32)&gt;0,I$29*($B59-I$32)*I$33*cSize,0) + IF(I$29=0,($B59-I$32)*I$33*cSize,0)</f>
        <v>0</v>
      </c>
      <c r="J59" s="4">
        <f>IF(J$29*($B59-J$32)&gt;0,J$29*($B59-J$32)*J$33*cSize,0) + IF(J$29=0,($B59-J$32)*J$33*cSize,0)</f>
        <v>0</v>
      </c>
      <c r="K59" s="4">
        <f>IF(K$29*($B59-K$32)&gt;0,K$29*($B59-K$32)*K$33*cSize,0) + IF(K$29=0,($B59-K$32)*K$33*cSize,0)</f>
        <v>0</v>
      </c>
      <c r="L59" s="4">
        <f>IF(L$29*($B59-L$32)&gt;0,L$29*($B59-L$32)*L$33*cSize,0) + IF(L$29=0,($B59-L$32)*L$33*cSize,0)</f>
        <v>0</v>
      </c>
      <c r="M59" s="4">
        <f>IF(M$29*($B59-M$32)&gt;0,M$29*($B59-M$32)*M$33*cSize,0) + IF(M$29=0,($B59-M$32)*M$33*cSize,0)</f>
        <v>0</v>
      </c>
      <c r="N59" s="4">
        <f>IF(N$29*($B59-N$32)&gt;0,N$29*($B59-N$32)*N$33*cSize,0) + IF(N$29=0,($B59-N$32)*N$33*cSize,0)</f>
        <v>0</v>
      </c>
      <c r="O59" s="4">
        <f>IF(O$29*($B59-O$32)&gt;0,O$29*($B59-O$32)*O$33*cSize,0) + IF(O$29=0,($B59-O$32)*O$33*cSize,0)</f>
        <v>0</v>
      </c>
    </row>
    <row r="60" spans="2:15" x14ac:dyDescent="0.25">
      <c r="B60" s="4">
        <f t="shared" si="1"/>
        <v>55</v>
      </c>
      <c r="C60" s="4">
        <f t="array" ref="C60">SUM(F60:O60)-SUM($C$13:$C$22*cSize*$D$13:$D$22)</f>
        <v>2070</v>
      </c>
      <c r="F60" s="4">
        <f>IF(F$29*($B60-F$32)&gt;0,F$29*($B60-F$32)*F$33*cSize,0) + IF(F$29=0,($B60-F$32)*F$33*cSize,0)</f>
        <v>4500</v>
      </c>
      <c r="G60" s="4">
        <f>IF(G$29*($B60-G$32)&gt;0,G$29*($B60-G$32)*G$33*cSize,0) + IF(G$29=0,($B60-G$32)*G$33*cSize,0)</f>
        <v>-1500</v>
      </c>
      <c r="H60" s="4">
        <f>IF(H$29*($B60-H$32)&gt;0,H$29*($B60-H$32)*H$33*cSize,0) + IF(H$29=0,($B60-H$32)*H$33*cSize,0)</f>
        <v>0</v>
      </c>
      <c r="I60" s="4">
        <f>IF(I$29*($B60-I$32)&gt;0,I$29*($B60-I$32)*I$33*cSize,0) + IF(I$29=0,($B60-I$32)*I$33*cSize,0)</f>
        <v>0</v>
      </c>
      <c r="J60" s="4">
        <f>IF(J$29*($B60-J$32)&gt;0,J$29*($B60-J$32)*J$33*cSize,0) + IF(J$29=0,($B60-J$32)*J$33*cSize,0)</f>
        <v>0</v>
      </c>
      <c r="K60" s="4">
        <f>IF(K$29*($B60-K$32)&gt;0,K$29*($B60-K$32)*K$33*cSize,0) + IF(K$29=0,($B60-K$32)*K$33*cSize,0)</f>
        <v>0</v>
      </c>
      <c r="L60" s="4">
        <f>IF(L$29*($B60-L$32)&gt;0,L$29*($B60-L$32)*L$33*cSize,0) + IF(L$29=0,($B60-L$32)*L$33*cSize,0)</f>
        <v>0</v>
      </c>
      <c r="M60" s="4">
        <f>IF(M$29*($B60-M$32)&gt;0,M$29*($B60-M$32)*M$33*cSize,0) + IF(M$29=0,($B60-M$32)*M$33*cSize,0)</f>
        <v>0</v>
      </c>
      <c r="N60" s="4">
        <f>IF(N$29*($B60-N$32)&gt;0,N$29*($B60-N$32)*N$33*cSize,0) + IF(N$29=0,($B60-N$32)*N$33*cSize,0)</f>
        <v>0</v>
      </c>
      <c r="O60" s="4">
        <f>IF(O$29*($B60-O$32)&gt;0,O$29*($B60-O$32)*O$33*cSize,0) + IF(O$29=0,($B60-O$32)*O$33*cSize,0)</f>
        <v>0</v>
      </c>
    </row>
    <row r="61" spans="2:15" x14ac:dyDescent="0.25">
      <c r="B61" s="4">
        <f t="shared" si="1"/>
        <v>56</v>
      </c>
      <c r="C61" s="4">
        <f t="array" ref="C61">SUM(F61:O61)-SUM($C$13:$C$22*cSize*$D$13:$D$22)</f>
        <v>2070</v>
      </c>
      <c r="F61" s="4">
        <f>IF(F$29*($B61-F$32)&gt;0,F$29*($B61-F$32)*F$33*cSize,0) + IF(F$29=0,($B61-F$32)*F$33*cSize,0)</f>
        <v>4800</v>
      </c>
      <c r="G61" s="4">
        <f>IF(G$29*($B61-G$32)&gt;0,G$29*($B61-G$32)*G$33*cSize,0) + IF(G$29=0,($B61-G$32)*G$33*cSize,0)</f>
        <v>-1800</v>
      </c>
      <c r="H61" s="4">
        <f>IF(H$29*($B61-H$32)&gt;0,H$29*($B61-H$32)*H$33*cSize,0) + IF(H$29=0,($B61-H$32)*H$33*cSize,0)</f>
        <v>0</v>
      </c>
      <c r="I61" s="4">
        <f>IF(I$29*($B61-I$32)&gt;0,I$29*($B61-I$32)*I$33*cSize,0) + IF(I$29=0,($B61-I$32)*I$33*cSize,0)</f>
        <v>0</v>
      </c>
      <c r="J61" s="4">
        <f>IF(J$29*($B61-J$32)&gt;0,J$29*($B61-J$32)*J$33*cSize,0) + IF(J$29=0,($B61-J$32)*J$33*cSize,0)</f>
        <v>0</v>
      </c>
      <c r="K61" s="4">
        <f>IF(K$29*($B61-K$32)&gt;0,K$29*($B61-K$32)*K$33*cSize,0) + IF(K$29=0,($B61-K$32)*K$33*cSize,0)</f>
        <v>0</v>
      </c>
      <c r="L61" s="4">
        <f>IF(L$29*($B61-L$32)&gt;0,L$29*($B61-L$32)*L$33*cSize,0) + IF(L$29=0,($B61-L$32)*L$33*cSize,0)</f>
        <v>0</v>
      </c>
      <c r="M61" s="4">
        <f>IF(M$29*($B61-M$32)&gt;0,M$29*($B61-M$32)*M$33*cSize,0) + IF(M$29=0,($B61-M$32)*M$33*cSize,0)</f>
        <v>0</v>
      </c>
      <c r="N61" s="4">
        <f>IF(N$29*($B61-N$32)&gt;0,N$29*($B61-N$32)*N$33*cSize,0) + IF(N$29=0,($B61-N$32)*N$33*cSize,0)</f>
        <v>0</v>
      </c>
      <c r="O61" s="4">
        <f>IF(O$29*($B61-O$32)&gt;0,O$29*($B61-O$32)*O$33*cSize,0) + IF(O$29=0,($B61-O$32)*O$33*cSize,0)</f>
        <v>0</v>
      </c>
    </row>
    <row r="62" spans="2:15" x14ac:dyDescent="0.25">
      <c r="B62" s="4">
        <f t="shared" si="1"/>
        <v>57</v>
      </c>
      <c r="C62" s="4">
        <f t="array" ref="C62">SUM(F62:O62)-SUM($C$13:$C$22*cSize*$D$13:$D$22)</f>
        <v>2070</v>
      </c>
      <c r="F62" s="4">
        <f>IF(F$29*($B62-F$32)&gt;0,F$29*($B62-F$32)*F$33*cSize,0) + IF(F$29=0,($B62-F$32)*F$33*cSize,0)</f>
        <v>5100</v>
      </c>
      <c r="G62" s="4">
        <f>IF(G$29*($B62-G$32)&gt;0,G$29*($B62-G$32)*G$33*cSize,0) + IF(G$29=0,($B62-G$32)*G$33*cSize,0)</f>
        <v>-2100</v>
      </c>
      <c r="H62" s="4">
        <f>IF(H$29*($B62-H$32)&gt;0,H$29*($B62-H$32)*H$33*cSize,0) + IF(H$29=0,($B62-H$32)*H$33*cSize,0)</f>
        <v>0</v>
      </c>
      <c r="I62" s="4">
        <f>IF(I$29*($B62-I$32)&gt;0,I$29*($B62-I$32)*I$33*cSize,0) + IF(I$29=0,($B62-I$32)*I$33*cSize,0)</f>
        <v>0</v>
      </c>
      <c r="J62" s="4">
        <f>IF(J$29*($B62-J$32)&gt;0,J$29*($B62-J$32)*J$33*cSize,0) + IF(J$29=0,($B62-J$32)*J$33*cSize,0)</f>
        <v>0</v>
      </c>
      <c r="K62" s="4">
        <f>IF(K$29*($B62-K$32)&gt;0,K$29*($B62-K$32)*K$33*cSize,0) + IF(K$29=0,($B62-K$32)*K$33*cSize,0)</f>
        <v>0</v>
      </c>
      <c r="L62" s="4">
        <f>IF(L$29*($B62-L$32)&gt;0,L$29*($B62-L$32)*L$33*cSize,0) + IF(L$29=0,($B62-L$32)*L$33*cSize,0)</f>
        <v>0</v>
      </c>
      <c r="M62" s="4">
        <f>IF(M$29*($B62-M$32)&gt;0,M$29*($B62-M$32)*M$33*cSize,0) + IF(M$29=0,($B62-M$32)*M$33*cSize,0)</f>
        <v>0</v>
      </c>
      <c r="N62" s="4">
        <f>IF(N$29*($B62-N$32)&gt;0,N$29*($B62-N$32)*N$33*cSize,0) + IF(N$29=0,($B62-N$32)*N$33*cSize,0)</f>
        <v>0</v>
      </c>
      <c r="O62" s="4">
        <f>IF(O$29*($B62-O$32)&gt;0,O$29*($B62-O$32)*O$33*cSize,0) + IF(O$29=0,($B62-O$32)*O$33*cSize,0)</f>
        <v>0</v>
      </c>
    </row>
    <row r="63" spans="2:15" x14ac:dyDescent="0.25">
      <c r="B63" s="4">
        <f t="shared" si="1"/>
        <v>58</v>
      </c>
      <c r="C63" s="4">
        <f t="array" ref="C63">SUM(F63:O63)-SUM($C$13:$C$22*cSize*$D$13:$D$22)</f>
        <v>2070</v>
      </c>
      <c r="F63" s="4">
        <f>IF(F$29*($B63-F$32)&gt;0,F$29*($B63-F$32)*F$33*cSize,0) + IF(F$29=0,($B63-F$32)*F$33*cSize,0)</f>
        <v>5400</v>
      </c>
      <c r="G63" s="4">
        <f>IF(G$29*($B63-G$32)&gt;0,G$29*($B63-G$32)*G$33*cSize,0) + IF(G$29=0,($B63-G$32)*G$33*cSize,0)</f>
        <v>-2400</v>
      </c>
      <c r="H63" s="4">
        <f>IF(H$29*($B63-H$32)&gt;0,H$29*($B63-H$32)*H$33*cSize,0) + IF(H$29=0,($B63-H$32)*H$33*cSize,0)</f>
        <v>0</v>
      </c>
      <c r="I63" s="4">
        <f>IF(I$29*($B63-I$32)&gt;0,I$29*($B63-I$32)*I$33*cSize,0) + IF(I$29=0,($B63-I$32)*I$33*cSize,0)</f>
        <v>0</v>
      </c>
      <c r="J63" s="4">
        <f>IF(J$29*($B63-J$32)&gt;0,J$29*($B63-J$32)*J$33*cSize,0) + IF(J$29=0,($B63-J$32)*J$33*cSize,0)</f>
        <v>0</v>
      </c>
      <c r="K63" s="4">
        <f>IF(K$29*($B63-K$32)&gt;0,K$29*($B63-K$32)*K$33*cSize,0) + IF(K$29=0,($B63-K$32)*K$33*cSize,0)</f>
        <v>0</v>
      </c>
      <c r="L63" s="4">
        <f>IF(L$29*($B63-L$32)&gt;0,L$29*($B63-L$32)*L$33*cSize,0) + IF(L$29=0,($B63-L$32)*L$33*cSize,0)</f>
        <v>0</v>
      </c>
      <c r="M63" s="4">
        <f>IF(M$29*($B63-M$32)&gt;0,M$29*($B63-M$32)*M$33*cSize,0) + IF(M$29=0,($B63-M$32)*M$33*cSize,0)</f>
        <v>0</v>
      </c>
      <c r="N63" s="4">
        <f>IF(N$29*($B63-N$32)&gt;0,N$29*($B63-N$32)*N$33*cSize,0) + IF(N$29=0,($B63-N$32)*N$33*cSize,0)</f>
        <v>0</v>
      </c>
      <c r="O63" s="4">
        <f>IF(O$29*($B63-O$32)&gt;0,O$29*($B63-O$32)*O$33*cSize,0) + IF(O$29=0,($B63-O$32)*O$33*cSize,0)</f>
        <v>0</v>
      </c>
    </row>
    <row r="64" spans="2:15" x14ac:dyDescent="0.25">
      <c r="B64" s="4">
        <f t="shared" si="1"/>
        <v>59</v>
      </c>
      <c r="C64" s="4">
        <f t="array" ref="C64">SUM(F64:O64)-SUM($C$13:$C$22*cSize*$D$13:$D$22)</f>
        <v>2070</v>
      </c>
      <c r="F64" s="4">
        <f>IF(F$29*($B64-F$32)&gt;0,F$29*($B64-F$32)*F$33*cSize,0) + IF(F$29=0,($B64-F$32)*F$33*cSize,0)</f>
        <v>5700</v>
      </c>
      <c r="G64" s="4">
        <f>IF(G$29*($B64-G$32)&gt;0,G$29*($B64-G$32)*G$33*cSize,0) + IF(G$29=0,($B64-G$32)*G$33*cSize,0)</f>
        <v>-2700</v>
      </c>
      <c r="H64" s="4">
        <f>IF(H$29*($B64-H$32)&gt;0,H$29*($B64-H$32)*H$33*cSize,0) + IF(H$29=0,($B64-H$32)*H$33*cSize,0)</f>
        <v>0</v>
      </c>
      <c r="I64" s="4">
        <f>IF(I$29*($B64-I$32)&gt;0,I$29*($B64-I$32)*I$33*cSize,0) + IF(I$29=0,($B64-I$32)*I$33*cSize,0)</f>
        <v>0</v>
      </c>
      <c r="J64" s="4">
        <f>IF(J$29*($B64-J$32)&gt;0,J$29*($B64-J$32)*J$33*cSize,0) + IF(J$29=0,($B64-J$32)*J$33*cSize,0)</f>
        <v>0</v>
      </c>
      <c r="K64" s="4">
        <f>IF(K$29*($B64-K$32)&gt;0,K$29*($B64-K$32)*K$33*cSize,0) + IF(K$29=0,($B64-K$32)*K$33*cSize,0)</f>
        <v>0</v>
      </c>
      <c r="L64" s="4">
        <f>IF(L$29*($B64-L$32)&gt;0,L$29*($B64-L$32)*L$33*cSize,0) + IF(L$29=0,($B64-L$32)*L$33*cSize,0)</f>
        <v>0</v>
      </c>
      <c r="M64" s="4">
        <f>IF(M$29*($B64-M$32)&gt;0,M$29*($B64-M$32)*M$33*cSize,0) + IF(M$29=0,($B64-M$32)*M$33*cSize,0)</f>
        <v>0</v>
      </c>
      <c r="N64" s="4">
        <f>IF(N$29*($B64-N$32)&gt;0,N$29*($B64-N$32)*N$33*cSize,0) + IF(N$29=0,($B64-N$32)*N$33*cSize,0)</f>
        <v>0</v>
      </c>
      <c r="O64" s="4">
        <f>IF(O$29*($B64-O$32)&gt;0,O$29*($B64-O$32)*O$33*cSize,0) + IF(O$29=0,($B64-O$32)*O$33*cSize,0)</f>
        <v>0</v>
      </c>
    </row>
  </sheetData>
  <mergeCells count="2">
    <mergeCell ref="F26:O27"/>
    <mergeCell ref="A1:O1"/>
  </mergeCells>
  <phoneticPr fontId="1" type="noConversion"/>
  <dataValidations count="1">
    <dataValidation type="list" allowBlank="1" showInputMessage="1" showErrorMessage="1" sqref="A13:A22">
      <formula1>"c,p,s"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64"/>
  <sheetViews>
    <sheetView topLeftCell="A24" workbookViewId="0">
      <selection activeCell="N9" sqref="N9"/>
    </sheetView>
  </sheetViews>
  <sheetFormatPr defaultRowHeight="15" x14ac:dyDescent="0.25"/>
  <cols>
    <col min="1" max="1" width="12.125" style="4" customWidth="1"/>
    <col min="2" max="2" width="13.625" style="4" customWidth="1"/>
    <col min="3" max="4" width="9" style="4"/>
    <col min="5" max="5" width="10.375" style="4" customWidth="1"/>
    <col min="6" max="7" width="9" style="4"/>
    <col min="8" max="8" width="13.875" style="4" customWidth="1"/>
    <col min="9" max="9" width="12.5" style="4" customWidth="1"/>
    <col min="10" max="16384" width="9" style="4"/>
  </cols>
  <sheetData>
    <row r="1" spans="1:15" ht="39.75" customHeight="1" thickBot="1" x14ac:dyDescent="0.3">
      <c r="A1" s="1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5.75" thickTop="1" x14ac:dyDescent="0.25"/>
    <row r="3" spans="1:15" x14ac:dyDescent="0.25">
      <c r="A3" s="3" t="s">
        <v>18</v>
      </c>
    </row>
    <row r="4" spans="1:15" x14ac:dyDescent="0.25">
      <c r="A4" s="4" t="s">
        <v>19</v>
      </c>
      <c r="C4" s="4" t="s">
        <v>20</v>
      </c>
    </row>
    <row r="5" spans="1:15" x14ac:dyDescent="0.25">
      <c r="A5" s="4" t="s">
        <v>21</v>
      </c>
      <c r="C5" s="4" t="s">
        <v>22</v>
      </c>
    </row>
    <row r="6" spans="1:15" x14ac:dyDescent="0.25">
      <c r="A6" s="4" t="s">
        <v>23</v>
      </c>
      <c r="C6" s="4" t="s">
        <v>24</v>
      </c>
    </row>
    <row r="7" spans="1:15" x14ac:dyDescent="0.25">
      <c r="A7" s="4" t="s">
        <v>25</v>
      </c>
      <c r="C7" s="4" t="s">
        <v>26</v>
      </c>
    </row>
    <row r="10" spans="1:15" x14ac:dyDescent="0.25">
      <c r="A10" s="3" t="s">
        <v>27</v>
      </c>
      <c r="B10" s="3" t="s">
        <v>28</v>
      </c>
      <c r="C10" s="3" t="s">
        <v>27</v>
      </c>
      <c r="D10" s="3" t="s">
        <v>29</v>
      </c>
      <c r="E10" s="4" t="s">
        <v>27</v>
      </c>
    </row>
    <row r="11" spans="1:15" x14ac:dyDescent="0.25">
      <c r="A11" s="3" t="s">
        <v>30</v>
      </c>
      <c r="B11" s="3" t="s">
        <v>31</v>
      </c>
      <c r="C11" s="3" t="s">
        <v>32</v>
      </c>
      <c r="D11" s="3" t="s">
        <v>33</v>
      </c>
      <c r="E11" s="4" t="s">
        <v>50</v>
      </c>
    </row>
    <row r="13" spans="1:15" x14ac:dyDescent="0.25">
      <c r="A13" s="5" t="s">
        <v>34</v>
      </c>
      <c r="B13" s="5">
        <v>250</v>
      </c>
      <c r="C13" s="5">
        <v>-1</v>
      </c>
      <c r="D13" s="5">
        <v>7.5</v>
      </c>
      <c r="E13" s="4">
        <f>IF(A13="c",1,IF(A13="p",-1,0))</f>
        <v>1</v>
      </c>
    </row>
    <row r="14" spans="1:15" x14ac:dyDescent="0.25">
      <c r="A14" s="5" t="s">
        <v>34</v>
      </c>
      <c r="B14" s="5">
        <v>90</v>
      </c>
      <c r="C14" s="5">
        <v>0</v>
      </c>
      <c r="D14" s="5"/>
      <c r="E14" s="4">
        <f t="shared" ref="E14:E22" si="0">IF(A14="c",1,IF(A14="p",-1,0))</f>
        <v>1</v>
      </c>
    </row>
    <row r="15" spans="1:15" x14ac:dyDescent="0.25">
      <c r="A15" s="5" t="s">
        <v>34</v>
      </c>
      <c r="B15" s="5">
        <v>90</v>
      </c>
      <c r="C15" s="5">
        <v>0</v>
      </c>
      <c r="D15" s="5"/>
      <c r="E15" s="4">
        <f t="shared" si="0"/>
        <v>1</v>
      </c>
    </row>
    <row r="16" spans="1:15" x14ac:dyDescent="0.25">
      <c r="A16" s="5" t="s">
        <v>44</v>
      </c>
      <c r="B16" s="5">
        <v>90</v>
      </c>
      <c r="C16" s="5">
        <v>0</v>
      </c>
      <c r="D16" s="5"/>
      <c r="E16" s="4">
        <f t="shared" si="0"/>
        <v>1</v>
      </c>
    </row>
    <row r="17" spans="1:15" x14ac:dyDescent="0.25">
      <c r="A17" s="5" t="s">
        <v>45</v>
      </c>
      <c r="B17" s="5">
        <v>150</v>
      </c>
      <c r="C17" s="5">
        <v>-1</v>
      </c>
      <c r="D17" s="5">
        <v>4.5</v>
      </c>
      <c r="E17" s="4">
        <f t="shared" si="0"/>
        <v>-1</v>
      </c>
    </row>
    <row r="18" spans="1:15" x14ac:dyDescent="0.25">
      <c r="A18" s="5" t="s">
        <v>45</v>
      </c>
      <c r="B18" s="5">
        <v>90</v>
      </c>
      <c r="C18" s="5">
        <v>0</v>
      </c>
      <c r="D18" s="5"/>
      <c r="E18" s="4">
        <f t="shared" si="0"/>
        <v>-1</v>
      </c>
    </row>
    <row r="19" spans="1:15" x14ac:dyDescent="0.25">
      <c r="A19" s="5" t="s">
        <v>45</v>
      </c>
      <c r="B19" s="5">
        <v>90</v>
      </c>
      <c r="C19" s="5">
        <v>0</v>
      </c>
      <c r="D19" s="5"/>
      <c r="E19" s="4">
        <f t="shared" si="0"/>
        <v>-1</v>
      </c>
    </row>
    <row r="20" spans="1:15" x14ac:dyDescent="0.25">
      <c r="A20" s="5" t="s">
        <v>45</v>
      </c>
      <c r="B20" s="5">
        <v>90</v>
      </c>
      <c r="C20" s="5">
        <v>0</v>
      </c>
      <c r="D20" s="5"/>
      <c r="E20" s="4">
        <f t="shared" si="0"/>
        <v>-1</v>
      </c>
    </row>
    <row r="21" spans="1:15" x14ac:dyDescent="0.25">
      <c r="A21" s="5" t="s">
        <v>46</v>
      </c>
      <c r="B21" s="5">
        <v>120</v>
      </c>
      <c r="C21" s="5">
        <v>0</v>
      </c>
      <c r="D21" s="5"/>
      <c r="E21" s="4">
        <f t="shared" si="0"/>
        <v>0</v>
      </c>
    </row>
    <row r="22" spans="1:15" x14ac:dyDescent="0.25">
      <c r="A22" s="5" t="s">
        <v>46</v>
      </c>
      <c r="B22" s="5">
        <v>90</v>
      </c>
      <c r="C22" s="5">
        <v>0</v>
      </c>
      <c r="D22" s="5"/>
      <c r="E22" s="4">
        <f t="shared" si="0"/>
        <v>0</v>
      </c>
    </row>
    <row r="24" spans="1:15" x14ac:dyDescent="0.25">
      <c r="A24" s="4" t="s">
        <v>35</v>
      </c>
      <c r="D24" s="6">
        <v>100</v>
      </c>
    </row>
    <row r="25" spans="1:15" x14ac:dyDescent="0.25">
      <c r="A25" s="4" t="s">
        <v>36</v>
      </c>
      <c r="D25" s="6">
        <v>50</v>
      </c>
    </row>
    <row r="26" spans="1:15" x14ac:dyDescent="0.25">
      <c r="A26" s="4" t="s">
        <v>37</v>
      </c>
      <c r="D26" s="6">
        <v>10</v>
      </c>
      <c r="F26" s="8" t="s">
        <v>52</v>
      </c>
      <c r="G26" s="9"/>
      <c r="H26" s="9"/>
      <c r="I26" s="9"/>
      <c r="J26" s="9"/>
      <c r="K26" s="9"/>
      <c r="L26" s="9"/>
      <c r="M26" s="9"/>
      <c r="N26" s="9"/>
      <c r="O26" s="9"/>
    </row>
    <row r="27" spans="1:15" ht="48.75" customHeight="1" x14ac:dyDescent="0.25"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9.2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32" spans="1:15" x14ac:dyDescent="0.25">
      <c r="B32" s="4" t="s">
        <v>38</v>
      </c>
      <c r="C32" s="4" t="s">
        <v>39</v>
      </c>
    </row>
    <row r="33" spans="2:10" x14ac:dyDescent="0.25">
      <c r="B33" s="4" t="s">
        <v>31</v>
      </c>
      <c r="C33" s="4" t="s">
        <v>40</v>
      </c>
      <c r="G33" s="4" t="s">
        <v>51</v>
      </c>
      <c r="J33" s="4">
        <f t="array" ref="J33">SUM(C13:C22*D13:D22*D24)</f>
        <v>-1200</v>
      </c>
    </row>
    <row r="35" spans="2:10" x14ac:dyDescent="0.25">
      <c r="B35" s="4">
        <f>$D$25</f>
        <v>50</v>
      </c>
      <c r="C35" s="4">
        <f t="array" ref="C35">SUM(IF($E$13:$E$22*(B35-$B$13:$B$22)&gt;0,$E$13:$E$22*(B35-$B$13:$B$22)*$C$13:$C$22*cSize))+SUM(IF($E$13:$E$22=0,(B35-$B$13:$B$22)*$C$13:$C$22*cSize))-$J$33</f>
        <v>-8800</v>
      </c>
    </row>
    <row r="36" spans="2:10" x14ac:dyDescent="0.25">
      <c r="B36" s="4">
        <f>B35+$D$26</f>
        <v>60</v>
      </c>
      <c r="C36" s="4">
        <f t="array" ref="C36">SUM(IF($E$13:$E$22*(B36-$B$13:$B$22)&gt;0,$E$13:$E$22*(B36-$B$13:$B$22)*$C$13:$C$22*cSize))+SUM(IF($E$13:$E$22=0,(B36-$B$13:$B$22)*$C$13:$C$22*cSize))-$J$33</f>
        <v>-7800</v>
      </c>
    </row>
    <row r="37" spans="2:10" x14ac:dyDescent="0.25">
      <c r="B37" s="4">
        <f t="shared" ref="B37:B64" si="1">B36+$D$26</f>
        <v>70</v>
      </c>
      <c r="C37" s="4">
        <f t="array" ref="C37">SUM(IF($E$13:$E$22*(B37-$B$13:$B$22)&gt;0,$E$13:$E$22*(B37-$B$13:$B$22)*$C$13:$C$22*cSize))+SUM(IF($E$13:$E$22=0,(B37-$B$13:$B$22)*$C$13:$C$22*cSize))-$J$33</f>
        <v>-6800</v>
      </c>
    </row>
    <row r="38" spans="2:10" x14ac:dyDescent="0.25">
      <c r="B38" s="4">
        <f t="shared" si="1"/>
        <v>80</v>
      </c>
      <c r="C38" s="4">
        <f t="array" ref="C38">SUM(IF($E$13:$E$22*(B38-$B$13:$B$22)&gt;0,$E$13:$E$22*(B38-$B$13:$B$22)*$C$13:$C$22*cSize))+SUM(IF($E$13:$E$22=0,(B38-$B$13:$B$22)*$C$13:$C$22*cSize))-$J$33</f>
        <v>-5800</v>
      </c>
    </row>
    <row r="39" spans="2:10" x14ac:dyDescent="0.25">
      <c r="B39" s="4">
        <f t="shared" si="1"/>
        <v>90</v>
      </c>
      <c r="C39" s="4">
        <f t="array" ref="C39">SUM(IF($E$13:$E$22*(B39-$B$13:$B$22)&gt;0,$E$13:$E$22*(B39-$B$13:$B$22)*$C$13:$C$22*cSize))+SUM(IF($E$13:$E$22=0,(B39-$B$13:$B$22)*$C$13:$C$22*cSize))-$J$33</f>
        <v>-4800</v>
      </c>
    </row>
    <row r="40" spans="2:10" x14ac:dyDescent="0.25">
      <c r="B40" s="4">
        <f t="shared" si="1"/>
        <v>100</v>
      </c>
      <c r="C40" s="4">
        <f t="array" ref="C40">SUM(IF($E$13:$E$22*(B40-$B$13:$B$22)&gt;0,$E$13:$E$22*(B40-$B$13:$B$22)*$C$13:$C$22*cSize))+SUM(IF($E$13:$E$22=0,(B40-$B$13:$B$22)*$C$13:$C$22*cSize))-$J$33</f>
        <v>-3800</v>
      </c>
    </row>
    <row r="41" spans="2:10" x14ac:dyDescent="0.25">
      <c r="B41" s="4">
        <f t="shared" si="1"/>
        <v>110</v>
      </c>
      <c r="C41" s="4">
        <f t="array" ref="C41">SUM(IF($E$13:$E$22*(B41-$B$13:$B$22)&gt;0,$E$13:$E$22*(B41-$B$13:$B$22)*$C$13:$C$22*cSize))+SUM(IF($E$13:$E$22=0,(B41-$B$13:$B$22)*$C$13:$C$22*cSize))-$J$33</f>
        <v>-2800</v>
      </c>
    </row>
    <row r="42" spans="2:10" x14ac:dyDescent="0.25">
      <c r="B42" s="4">
        <f t="shared" si="1"/>
        <v>120</v>
      </c>
      <c r="C42" s="4">
        <f t="array" ref="C42">SUM(IF($E$13:$E$22*(B42-$B$13:$B$22)&gt;0,$E$13:$E$22*(B42-$B$13:$B$22)*$C$13:$C$22*cSize))+SUM(IF($E$13:$E$22=0,(B42-$B$13:$B$22)*$C$13:$C$22*cSize))-$J$33</f>
        <v>-1800</v>
      </c>
    </row>
    <row r="43" spans="2:10" x14ac:dyDescent="0.25">
      <c r="B43" s="4">
        <f t="shared" si="1"/>
        <v>130</v>
      </c>
      <c r="C43" s="4">
        <f t="array" ref="C43">SUM(IF($E$13:$E$22*(B43-$B$13:$B$22)&gt;0,$E$13:$E$22*(B43-$B$13:$B$22)*$C$13:$C$22*cSize))+SUM(IF($E$13:$E$22=0,(B43-$B$13:$B$22)*$C$13:$C$22*cSize))-$J$33</f>
        <v>-800</v>
      </c>
    </row>
    <row r="44" spans="2:10" x14ac:dyDescent="0.25">
      <c r="B44" s="4">
        <f t="shared" si="1"/>
        <v>140</v>
      </c>
      <c r="C44" s="4">
        <f t="array" ref="C44">SUM(IF($E$13:$E$22*(B44-$B$13:$B$22)&gt;0,$E$13:$E$22*(B44-$B$13:$B$22)*$C$13:$C$22*cSize))+SUM(IF($E$13:$E$22=0,(B44-$B$13:$B$22)*$C$13:$C$22*cSize))-$J$33</f>
        <v>200</v>
      </c>
    </row>
    <row r="45" spans="2:10" x14ac:dyDescent="0.25">
      <c r="B45" s="4">
        <f t="shared" si="1"/>
        <v>150</v>
      </c>
      <c r="C45" s="4">
        <f t="array" ref="C45">SUM(IF($E$13:$E$22*(B45-$B$13:$B$22)&gt;0,$E$13:$E$22*(B45-$B$13:$B$22)*$C$13:$C$22*cSize))+SUM(IF($E$13:$E$22=0,(B45-$B$13:$B$22)*$C$13:$C$22*cSize))-$J$33</f>
        <v>1200</v>
      </c>
    </row>
    <row r="46" spans="2:10" x14ac:dyDescent="0.25">
      <c r="B46" s="4">
        <f t="shared" si="1"/>
        <v>160</v>
      </c>
      <c r="C46" s="4">
        <f t="array" ref="C46">SUM(IF($E$13:$E$22*(B46-$B$13:$B$22)&gt;0,$E$13:$E$22*(B46-$B$13:$B$22)*$C$13:$C$22*cSize))+SUM(IF($E$13:$E$22=0,(B46-$B$13:$B$22)*$C$13:$C$22*cSize))-$J$33</f>
        <v>1200</v>
      </c>
    </row>
    <row r="47" spans="2:10" x14ac:dyDescent="0.25">
      <c r="B47" s="4">
        <f t="shared" si="1"/>
        <v>170</v>
      </c>
      <c r="C47" s="4">
        <f t="array" ref="C47">SUM(IF($E$13:$E$22*(B47-$B$13:$B$22)&gt;0,$E$13:$E$22*(B47-$B$13:$B$22)*$C$13:$C$22*cSize))+SUM(IF($E$13:$E$22=0,(B47-$B$13:$B$22)*$C$13:$C$22*cSize))-$J$33</f>
        <v>1200</v>
      </c>
    </row>
    <row r="48" spans="2:10" x14ac:dyDescent="0.25">
      <c r="B48" s="4">
        <f t="shared" si="1"/>
        <v>180</v>
      </c>
      <c r="C48" s="4">
        <f t="array" ref="C48">SUM(IF($E$13:$E$22*(B48-$B$13:$B$22)&gt;0,$E$13:$E$22*(B48-$B$13:$B$22)*$C$13:$C$22*cSize))+SUM(IF($E$13:$E$22=0,(B48-$B$13:$B$22)*$C$13:$C$22*cSize))-$J$33</f>
        <v>1200</v>
      </c>
    </row>
    <row r="49" spans="2:3" x14ac:dyDescent="0.25">
      <c r="B49" s="4">
        <f t="shared" si="1"/>
        <v>190</v>
      </c>
      <c r="C49" s="4">
        <f t="array" ref="C49">SUM(IF($E$13:$E$22*(B49-$B$13:$B$22)&gt;0,$E$13:$E$22*(B49-$B$13:$B$22)*$C$13:$C$22*cSize))+SUM(IF($E$13:$E$22=0,(B49-$B$13:$B$22)*$C$13:$C$22*cSize))-$J$33</f>
        <v>1200</v>
      </c>
    </row>
    <row r="50" spans="2:3" x14ac:dyDescent="0.25">
      <c r="B50" s="4">
        <f t="shared" si="1"/>
        <v>200</v>
      </c>
      <c r="C50" s="4">
        <f t="array" ref="C50">SUM(IF($E$13:$E$22*(B50-$B$13:$B$22)&gt;0,$E$13:$E$22*(B50-$B$13:$B$22)*$C$13:$C$22*cSize))+SUM(IF($E$13:$E$22=0,(B50-$B$13:$B$22)*$C$13:$C$22*cSize))-$J$33</f>
        <v>1200</v>
      </c>
    </row>
    <row r="51" spans="2:3" x14ac:dyDescent="0.25">
      <c r="B51" s="4">
        <f t="shared" si="1"/>
        <v>210</v>
      </c>
      <c r="C51" s="4">
        <f t="array" ref="C51">SUM(IF($E$13:$E$22*(B51-$B$13:$B$22)&gt;0,$E$13:$E$22*(B51-$B$13:$B$22)*$C$13:$C$22*cSize))+SUM(IF($E$13:$E$22=0,(B51-$B$13:$B$22)*$C$13:$C$22*cSize))-$J$33</f>
        <v>1200</v>
      </c>
    </row>
    <row r="52" spans="2:3" x14ac:dyDescent="0.25">
      <c r="B52" s="4">
        <f t="shared" si="1"/>
        <v>220</v>
      </c>
      <c r="C52" s="4">
        <f t="array" ref="C52">SUM(IF($E$13:$E$22*(B52-$B$13:$B$22)&gt;0,$E$13:$E$22*(B52-$B$13:$B$22)*$C$13:$C$22*cSize))+SUM(IF($E$13:$E$22=0,(B52-$B$13:$B$22)*$C$13:$C$22*cSize))-$J$33</f>
        <v>1200</v>
      </c>
    </row>
    <row r="53" spans="2:3" x14ac:dyDescent="0.25">
      <c r="B53" s="4">
        <f t="shared" si="1"/>
        <v>230</v>
      </c>
      <c r="C53" s="4">
        <f t="array" ref="C53">SUM(IF($E$13:$E$22*(B53-$B$13:$B$22)&gt;0,$E$13:$E$22*(B53-$B$13:$B$22)*$C$13:$C$22*cSize))+SUM(IF($E$13:$E$22=0,(B53-$B$13:$B$22)*$C$13:$C$22*cSize))-$J$33</f>
        <v>1200</v>
      </c>
    </row>
    <row r="54" spans="2:3" x14ac:dyDescent="0.25">
      <c r="B54" s="4">
        <f t="shared" si="1"/>
        <v>240</v>
      </c>
      <c r="C54" s="4">
        <f t="array" ref="C54">SUM(IF($E$13:$E$22*(B54-$B$13:$B$22)&gt;0,$E$13:$E$22*(B54-$B$13:$B$22)*$C$13:$C$22*cSize))+SUM(IF($E$13:$E$22=0,(B54-$B$13:$B$22)*$C$13:$C$22*cSize))-$J$33</f>
        <v>1200</v>
      </c>
    </row>
    <row r="55" spans="2:3" x14ac:dyDescent="0.25">
      <c r="B55" s="4">
        <f t="shared" si="1"/>
        <v>250</v>
      </c>
      <c r="C55" s="4">
        <f t="array" ref="C55">SUM(IF($E$13:$E$22*(B55-$B$13:$B$22)&gt;0,$E$13:$E$22*(B55-$B$13:$B$22)*$C$13:$C$22*cSize))+SUM(IF($E$13:$E$22=0,(B55-$B$13:$B$22)*$C$13:$C$22*cSize))-$J$33</f>
        <v>1200</v>
      </c>
    </row>
    <row r="56" spans="2:3" x14ac:dyDescent="0.25">
      <c r="B56" s="4">
        <f t="shared" si="1"/>
        <v>260</v>
      </c>
      <c r="C56" s="4">
        <f t="array" ref="C56">SUM(IF($E$13:$E$22*(B56-$B$13:$B$22)&gt;0,$E$13:$E$22*(B56-$B$13:$B$22)*$C$13:$C$22*cSize))+SUM(IF($E$13:$E$22=0,(B56-$B$13:$B$22)*$C$13:$C$22*cSize))-$J$33</f>
        <v>200</v>
      </c>
    </row>
    <row r="57" spans="2:3" x14ac:dyDescent="0.25">
      <c r="B57" s="4">
        <f t="shared" si="1"/>
        <v>270</v>
      </c>
      <c r="C57" s="4">
        <f t="array" ref="C57">SUM(IF($E$13:$E$22*(B57-$B$13:$B$22)&gt;0,$E$13:$E$22*(B57-$B$13:$B$22)*$C$13:$C$22*cSize))+SUM(IF($E$13:$E$22=0,(B57-$B$13:$B$22)*$C$13:$C$22*cSize))-$J$33</f>
        <v>-800</v>
      </c>
    </row>
    <row r="58" spans="2:3" x14ac:dyDescent="0.25">
      <c r="B58" s="4">
        <f t="shared" si="1"/>
        <v>280</v>
      </c>
      <c r="C58" s="4">
        <f t="array" ref="C58">SUM(IF($E$13:$E$22*(B58-$B$13:$B$22)&gt;0,$E$13:$E$22*(B58-$B$13:$B$22)*$C$13:$C$22*cSize))+SUM(IF($E$13:$E$22=0,(B58-$B$13:$B$22)*$C$13:$C$22*cSize))-$J$33</f>
        <v>-1800</v>
      </c>
    </row>
    <row r="59" spans="2:3" x14ac:dyDescent="0.25">
      <c r="B59" s="4">
        <f t="shared" si="1"/>
        <v>290</v>
      </c>
      <c r="C59" s="4">
        <f t="array" ref="C59">SUM(IF($E$13:$E$22*(B59-$B$13:$B$22)&gt;0,$E$13:$E$22*(B59-$B$13:$B$22)*$C$13:$C$22*cSize))+SUM(IF($E$13:$E$22=0,(B59-$B$13:$B$22)*$C$13:$C$22*cSize))-$J$33</f>
        <v>-2800</v>
      </c>
    </row>
    <row r="60" spans="2:3" x14ac:dyDescent="0.25">
      <c r="B60" s="4">
        <f t="shared" si="1"/>
        <v>300</v>
      </c>
      <c r="C60" s="4">
        <f t="array" ref="C60">SUM(IF($E$13:$E$22*(B60-$B$13:$B$22)&gt;0,$E$13:$E$22*(B60-$B$13:$B$22)*$C$13:$C$22*cSize))+SUM(IF($E$13:$E$22=0,(B60-$B$13:$B$22)*$C$13:$C$22*cSize))-$J$33</f>
        <v>-3800</v>
      </c>
    </row>
    <row r="61" spans="2:3" x14ac:dyDescent="0.25">
      <c r="B61" s="4">
        <f t="shared" si="1"/>
        <v>310</v>
      </c>
      <c r="C61" s="4">
        <f t="array" ref="C61">SUM(IF($E$13:$E$22*(B61-$B$13:$B$22)&gt;0,$E$13:$E$22*(B61-$B$13:$B$22)*$C$13:$C$22*cSize))+SUM(IF($E$13:$E$22=0,(B61-$B$13:$B$22)*$C$13:$C$22*cSize))-$J$33</f>
        <v>-4800</v>
      </c>
    </row>
    <row r="62" spans="2:3" x14ac:dyDescent="0.25">
      <c r="B62" s="4">
        <f t="shared" si="1"/>
        <v>320</v>
      </c>
      <c r="C62" s="4">
        <f t="array" ref="C62">SUM(IF($E$13:$E$22*(B62-$B$13:$B$22)&gt;0,$E$13:$E$22*(B62-$B$13:$B$22)*$C$13:$C$22*cSize))+SUM(IF($E$13:$E$22=0,(B62-$B$13:$B$22)*$C$13:$C$22*cSize))-$J$33</f>
        <v>-5800</v>
      </c>
    </row>
    <row r="63" spans="2:3" x14ac:dyDescent="0.25">
      <c r="B63" s="4">
        <f t="shared" si="1"/>
        <v>330</v>
      </c>
      <c r="C63" s="4">
        <f t="array" ref="C63">SUM(IF($E$13:$E$22*(B63-$B$13:$B$22)&gt;0,$E$13:$E$22*(B63-$B$13:$B$22)*$C$13:$C$22*cSize))+SUM(IF($E$13:$E$22=0,(B63-$B$13:$B$22)*$C$13:$C$22*cSize))-$J$33</f>
        <v>-6800</v>
      </c>
    </row>
    <row r="64" spans="2:3" x14ac:dyDescent="0.25">
      <c r="B64" s="4">
        <f t="shared" si="1"/>
        <v>340</v>
      </c>
      <c r="C64" s="4">
        <f t="array" ref="C64">SUM(IF($E$13:$E$22*(B64-$B$13:$B$22)&gt;0,$E$13:$E$22*(B64-$B$13:$B$22)*$C$13:$C$22*cSize))+SUM(IF($E$13:$E$22=0,(B64-$B$13:$B$22)*$C$13:$C$22*cSize))-$J$33</f>
        <v>-7800</v>
      </c>
    </row>
  </sheetData>
  <mergeCells count="2">
    <mergeCell ref="A1:O1"/>
    <mergeCell ref="F26:O27"/>
  </mergeCells>
  <phoneticPr fontId="1" type="noConversion"/>
  <dataValidations count="1">
    <dataValidation type="list" allowBlank="1" showInputMessage="1" showErrorMessage="1" sqref="A13:A22">
      <formula1>"c,p,s"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3:P33"/>
  <sheetViews>
    <sheetView tabSelected="1" topLeftCell="A4" workbookViewId="0">
      <selection activeCell="B4" sqref="B4"/>
    </sheetView>
  </sheetViews>
  <sheetFormatPr defaultRowHeight="15" x14ac:dyDescent="0.25"/>
  <cols>
    <col min="1" max="1" width="38.5" style="4" customWidth="1"/>
    <col min="2" max="2" width="13.75" style="4" customWidth="1"/>
    <col min="3" max="3" width="7.25" style="4" customWidth="1"/>
    <col min="4" max="4" width="27.375" style="4" customWidth="1"/>
    <col min="5" max="5" width="12.5" style="4" customWidth="1"/>
    <col min="6" max="6" width="13" style="4" customWidth="1"/>
    <col min="7" max="16384" width="9" style="4"/>
  </cols>
  <sheetData>
    <row r="3" spans="1:16" x14ac:dyDescent="0.25">
      <c r="E3" s="3" t="s">
        <v>65</v>
      </c>
      <c r="F3" s="3" t="s">
        <v>66</v>
      </c>
    </row>
    <row r="4" spans="1:16" x14ac:dyDescent="0.25">
      <c r="A4" s="4" t="s">
        <v>53</v>
      </c>
      <c r="B4" s="2">
        <v>50</v>
      </c>
      <c r="D4" s="4" t="s">
        <v>54</v>
      </c>
      <c r="E4" s="17">
        <f>S*eqt*NdOne-K*ert*NdTwo</f>
        <v>5.9315509111302411</v>
      </c>
      <c r="F4" s="17">
        <f>K*ert*NmdTwo-S*eqt*NmdOne</f>
        <v>5.1908606168338807</v>
      </c>
    </row>
    <row r="5" spans="1:16" x14ac:dyDescent="0.25">
      <c r="A5" s="4" t="s">
        <v>55</v>
      </c>
      <c r="B5" s="2">
        <v>50</v>
      </c>
      <c r="D5" s="4" t="s">
        <v>56</v>
      </c>
      <c r="E5" s="17">
        <f>eqt*NdOne</f>
        <v>0.57421168931505495</v>
      </c>
      <c r="F5" s="17">
        <f>eqt*(NdOne-1)</f>
        <v>-0.42080078987762742</v>
      </c>
    </row>
    <row r="6" spans="1:16" x14ac:dyDescent="0.25">
      <c r="A6" s="4" t="s">
        <v>57</v>
      </c>
      <c r="B6" s="12">
        <v>0.01</v>
      </c>
      <c r="D6" s="4" t="s">
        <v>58</v>
      </c>
      <c r="E6" s="17">
        <f>q*S*NdOne*eqt-rr*K*NdTwo*ert-S*NpdOne*V*eqt/(2*SQRT(T))</f>
        <v>-6.1326741864418235</v>
      </c>
      <c r="F6" s="17">
        <f>-q*S*NmdOne*eqt+rr*K*NmdTwo*ert-S*NpdOne*V*eqt/(2*SQRT(T))</f>
        <v>-4.6697830794246542</v>
      </c>
    </row>
    <row r="7" spans="1:16" x14ac:dyDescent="0.25">
      <c r="A7" s="4" t="s">
        <v>59</v>
      </c>
      <c r="B7" s="2">
        <v>0.5</v>
      </c>
      <c r="D7" s="4" t="s">
        <v>60</v>
      </c>
      <c r="E7" s="17">
        <f>NpdOne*eqt/(S*V*SQRT(T))</f>
        <v>2.7543093444572255E-2</v>
      </c>
      <c r="F7" s="17">
        <f>E7</f>
        <v>2.7543093444572255E-2</v>
      </c>
    </row>
    <row r="8" spans="1:16" x14ac:dyDescent="0.25">
      <c r="A8" s="4" t="s">
        <v>61</v>
      </c>
      <c r="B8" s="12">
        <v>0.4</v>
      </c>
      <c r="D8" s="4" t="s">
        <v>62</v>
      </c>
      <c r="E8" s="17">
        <f>S*NpdOne*eqt*SQRT(T)</f>
        <v>13.771546722286129</v>
      </c>
      <c r="F8" s="17">
        <f>E8</f>
        <v>13.771546722286129</v>
      </c>
    </row>
    <row r="9" spans="1:16" x14ac:dyDescent="0.25">
      <c r="A9" s="4" t="s">
        <v>63</v>
      </c>
      <c r="B9" s="12">
        <v>0.04</v>
      </c>
      <c r="D9" s="4" t="s">
        <v>64</v>
      </c>
      <c r="E9" s="17">
        <f>K*NdTwo*ert*T</f>
        <v>11.389516777311256</v>
      </c>
      <c r="F9" s="17">
        <f>-K*NmdTwo*ert*T</f>
        <v>-13.115450055357625</v>
      </c>
    </row>
    <row r="11" spans="1:16" x14ac:dyDescent="0.25">
      <c r="A11" s="3" t="s">
        <v>67</v>
      </c>
      <c r="D11" s="3" t="s">
        <v>68</v>
      </c>
      <c r="E11" s="17">
        <f>E4+K*ert-S*eqt</f>
        <v>5.1908606168338807</v>
      </c>
    </row>
    <row r="12" spans="1:16" x14ac:dyDescent="0.25">
      <c r="A12" s="4" t="s">
        <v>69</v>
      </c>
      <c r="B12" s="17">
        <f>EXP(-rr*T)</f>
        <v>0.98019867330675525</v>
      </c>
    </row>
    <row r="13" spans="1:16" x14ac:dyDescent="0.25">
      <c r="A13" s="4" t="s">
        <v>70</v>
      </c>
      <c r="B13" s="17">
        <f>EXP(-q*T)</f>
        <v>0.99501247919268232</v>
      </c>
      <c r="D13" s="13" t="s">
        <v>79</v>
      </c>
      <c r="E13" s="14"/>
      <c r="F13" s="14"/>
      <c r="G13" s="14"/>
      <c r="I13" s="15" t="s">
        <v>82</v>
      </c>
      <c r="J13" s="16"/>
      <c r="K13" s="16"/>
      <c r="L13" s="16"/>
      <c r="M13" s="16"/>
    </row>
    <row r="14" spans="1:16" x14ac:dyDescent="0.25">
      <c r="A14" s="4" t="s">
        <v>71</v>
      </c>
      <c r="B14" s="17">
        <f>(rr-q+0.5*V^2)</f>
        <v>0.11000000000000001</v>
      </c>
      <c r="D14" s="14"/>
      <c r="E14" s="14"/>
      <c r="F14" s="14"/>
      <c r="G14" s="14"/>
      <c r="I14" s="16"/>
      <c r="J14" s="16"/>
      <c r="K14" s="16"/>
      <c r="L14" s="16"/>
      <c r="M14" s="16"/>
    </row>
    <row r="15" spans="1:16" x14ac:dyDescent="0.25">
      <c r="B15" s="17"/>
      <c r="I15" s="3" t="s">
        <v>83</v>
      </c>
      <c r="P15" s="3" t="s">
        <v>84</v>
      </c>
    </row>
    <row r="16" spans="1:16" x14ac:dyDescent="0.25">
      <c r="A16" s="4" t="s">
        <v>72</v>
      </c>
      <c r="B16" s="17">
        <f>(LN(S/K)+radj*T)/(V*SQRT(T))</f>
        <v>0.19445436482630055</v>
      </c>
    </row>
    <row r="17" spans="1:12" x14ac:dyDescent="0.25">
      <c r="A17" s="4" t="s">
        <v>73</v>
      </c>
      <c r="B17" s="17">
        <f>_xlfn.NORM.S.DIST(dOne,TRUE)</f>
        <v>0.57708993738545855</v>
      </c>
    </row>
    <row r="18" spans="1:12" x14ac:dyDescent="0.25">
      <c r="A18" s="4" t="s">
        <v>74</v>
      </c>
      <c r="B18" s="17">
        <f>_xlfn.NORM.S.DIST(-dOne,TRUE)</f>
        <v>0.4229100626145415</v>
      </c>
    </row>
    <row r="19" spans="1:12" x14ac:dyDescent="0.25">
      <c r="B19" s="17"/>
    </row>
    <row r="20" spans="1:12" x14ac:dyDescent="0.25">
      <c r="A20" s="4" t="s">
        <v>75</v>
      </c>
      <c r="B20" s="17">
        <f>dOne-V*SQRT(T)</f>
        <v>-8.8388347648318516E-2</v>
      </c>
    </row>
    <row r="21" spans="1:12" x14ac:dyDescent="0.25">
      <c r="A21" s="4" t="s">
        <v>76</v>
      </c>
      <c r="B21" s="17">
        <f>_xlfn.NORM.S.DIST(dTwo,TRUE)</f>
        <v>0.46478401113880641</v>
      </c>
      <c r="D21" s="4" t="s">
        <v>80</v>
      </c>
    </row>
    <row r="22" spans="1:12" x14ac:dyDescent="0.25">
      <c r="A22" s="4" t="s">
        <v>77</v>
      </c>
      <c r="B22" s="17">
        <f>1-NdTwo</f>
        <v>0.53521598886119359</v>
      </c>
    </row>
    <row r="23" spans="1:12" x14ac:dyDescent="0.25">
      <c r="B23" s="17"/>
    </row>
    <row r="24" spans="1:12" x14ac:dyDescent="0.25">
      <c r="A24" s="4" t="s">
        <v>78</v>
      </c>
      <c r="B24" s="17">
        <f>EXP(-(dOne^2)/2)/SQRT(2*PI())</f>
        <v>0.39147063090733986</v>
      </c>
    </row>
    <row r="26" spans="1:12" x14ac:dyDescent="0.25">
      <c r="L26" s="4" t="s">
        <v>80</v>
      </c>
    </row>
    <row r="33" spans="4:4" x14ac:dyDescent="0.25">
      <c r="D33" s="4" t="s">
        <v>81</v>
      </c>
    </row>
  </sheetData>
  <mergeCells count="2">
    <mergeCell ref="D13:G14"/>
    <mergeCell ref="I13:M14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4098" r:id="rId3">
          <objectPr defaultSize="0" autoPict="0" r:id="rId4">
            <anchor moveWithCells="1">
              <from>
                <xdr:col>2</xdr:col>
                <xdr:colOff>552450</xdr:colOff>
                <xdr:row>14</xdr:row>
                <xdr:rowOff>190500</xdr:rowOff>
              </from>
              <to>
                <xdr:col>5</xdr:col>
                <xdr:colOff>838200</xdr:colOff>
                <xdr:row>19</xdr:row>
                <xdr:rowOff>85725</xdr:rowOff>
              </to>
            </anchor>
          </objectPr>
        </oleObject>
      </mc:Choice>
      <mc:Fallback>
        <oleObject progId="Equation.DSMT4" shapeId="4098" r:id="rId3"/>
      </mc:Fallback>
    </mc:AlternateContent>
    <mc:AlternateContent xmlns:mc="http://schemas.openxmlformats.org/markup-compatibility/2006">
      <mc:Choice Requires="x14">
        <oleObject progId="Equation.DSMT4" shapeId="4099" r:id="rId5">
          <objectPr defaultSize="0" autoPict="0" r:id="rId6">
            <anchor moveWithCells="1">
              <from>
                <xdr:col>3</xdr:col>
                <xdr:colOff>0</xdr:colOff>
                <xdr:row>21</xdr:row>
                <xdr:rowOff>0</xdr:rowOff>
              </from>
              <to>
                <xdr:col>5</xdr:col>
                <xdr:colOff>847725</xdr:colOff>
                <xdr:row>31</xdr:row>
                <xdr:rowOff>57150</xdr:rowOff>
              </to>
            </anchor>
          </objectPr>
        </oleObject>
      </mc:Choice>
      <mc:Fallback>
        <oleObject progId="Equation.DSMT4" shapeId="4099" r:id="rId5"/>
      </mc:Fallback>
    </mc:AlternateContent>
    <mc:AlternateContent xmlns:mc="http://schemas.openxmlformats.org/markup-compatibility/2006">
      <mc:Choice Requires="x14">
        <oleObject progId="Equation.DSMT4" shapeId="4100" r:id="rId7">
          <objectPr defaultSize="0" autoPict="0" r:id="rId8">
            <anchor moveWithCells="1">
              <from>
                <xdr:col>3</xdr:col>
                <xdr:colOff>0</xdr:colOff>
                <xdr:row>33</xdr:row>
                <xdr:rowOff>0</xdr:rowOff>
              </from>
              <to>
                <xdr:col>6</xdr:col>
                <xdr:colOff>0</xdr:colOff>
                <xdr:row>35</xdr:row>
                <xdr:rowOff>123825</xdr:rowOff>
              </to>
            </anchor>
          </objectPr>
        </oleObject>
      </mc:Choice>
      <mc:Fallback>
        <oleObject progId="Equation.DSMT4" shapeId="4100" r:id="rId7"/>
      </mc:Fallback>
    </mc:AlternateContent>
    <mc:AlternateContent xmlns:mc="http://schemas.openxmlformats.org/markup-compatibility/2006">
      <mc:Choice Requires="x14">
        <oleObject progId="Equation.DSMT4" shapeId="4101" r:id="rId9">
          <objectPr defaultSize="0" autoPict="0" r:id="rId10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485775</xdr:colOff>
                <xdr:row>17</xdr:row>
                <xdr:rowOff>123825</xdr:rowOff>
              </to>
            </anchor>
          </objectPr>
        </oleObject>
      </mc:Choice>
      <mc:Fallback>
        <oleObject progId="Equation.DSMT4" shapeId="4101" r:id="rId9"/>
      </mc:Fallback>
    </mc:AlternateContent>
    <mc:AlternateContent xmlns:mc="http://schemas.openxmlformats.org/markup-compatibility/2006">
      <mc:Choice Requires="x14">
        <oleObject progId="Equation.DSMT4" shapeId="4102" r:id="rId11">
          <objectPr defaultSize="0" autoPict="0" r:id="rId12">
            <anchor moveWithCells="1">
              <from>
                <xdr:col>15</xdr:col>
                <xdr:colOff>47625</xdr:colOff>
                <xdr:row>16</xdr:row>
                <xdr:rowOff>85725</xdr:rowOff>
              </from>
              <to>
                <xdr:col>17</xdr:col>
                <xdr:colOff>400050</xdr:colOff>
                <xdr:row>18</xdr:row>
                <xdr:rowOff>38100</xdr:rowOff>
              </to>
            </anchor>
          </objectPr>
        </oleObject>
      </mc:Choice>
      <mc:Fallback>
        <oleObject progId="Equation.DSMT4" shapeId="4102" r:id="rId11"/>
      </mc:Fallback>
    </mc:AlternateContent>
    <mc:AlternateContent xmlns:mc="http://schemas.openxmlformats.org/markup-compatibility/2006">
      <mc:Choice Requires="x14">
        <oleObject progId="Equation.DSMT4" shapeId="4104" r:id="rId13">
          <objectPr defaultSize="0" autoPict="0" r:id="rId14">
            <anchor moveWithCells="1">
              <from>
                <xdr:col>8</xdr:col>
                <xdr:colOff>0</xdr:colOff>
                <xdr:row>21</xdr:row>
                <xdr:rowOff>0</xdr:rowOff>
              </from>
              <to>
                <xdr:col>13</xdr:col>
                <xdr:colOff>171450</xdr:colOff>
                <xdr:row>23</xdr:row>
                <xdr:rowOff>161925</xdr:rowOff>
              </to>
            </anchor>
          </objectPr>
        </oleObject>
      </mc:Choice>
      <mc:Fallback>
        <oleObject progId="Equation.DSMT4" shapeId="4104" r:id="rId13"/>
      </mc:Fallback>
    </mc:AlternateContent>
    <mc:AlternateContent xmlns:mc="http://schemas.openxmlformats.org/markup-compatibility/2006">
      <mc:Choice Requires="x14">
        <oleObject progId="Equation.DSMT4" shapeId="4105" r:id="rId15">
          <objectPr defaultSize="0" autoPict="0" r:id="rId16">
            <anchor moveWithCells="1">
              <from>
                <xdr:col>15</xdr:col>
                <xdr:colOff>114300</xdr:colOff>
                <xdr:row>21</xdr:row>
                <xdr:rowOff>0</xdr:rowOff>
              </from>
              <to>
                <xdr:col>21</xdr:col>
                <xdr:colOff>219075</xdr:colOff>
                <xdr:row>24</xdr:row>
                <xdr:rowOff>9525</xdr:rowOff>
              </to>
            </anchor>
          </objectPr>
        </oleObject>
      </mc:Choice>
      <mc:Fallback>
        <oleObject progId="Equation.DSMT4" shapeId="4105" r:id="rId15"/>
      </mc:Fallback>
    </mc:AlternateContent>
    <mc:AlternateContent xmlns:mc="http://schemas.openxmlformats.org/markup-compatibility/2006">
      <mc:Choice Requires="x14">
        <oleObject progId="Equation.DSMT4" shapeId="4106" r:id="rId17">
          <objectPr defaultSize="0" autoPict="0" r:id="rId18">
            <anchor moveWithCells="1">
              <from>
                <xdr:col>12</xdr:col>
                <xdr:colOff>161925</xdr:colOff>
                <xdr:row>25</xdr:row>
                <xdr:rowOff>0</xdr:rowOff>
              </from>
              <to>
                <xdr:col>14</xdr:col>
                <xdr:colOff>333375</xdr:colOff>
                <xdr:row>28</xdr:row>
                <xdr:rowOff>85725</xdr:rowOff>
              </to>
            </anchor>
          </objectPr>
        </oleObject>
      </mc:Choice>
      <mc:Fallback>
        <oleObject progId="Equation.DSMT4" shapeId="4106" r:id="rId17"/>
      </mc:Fallback>
    </mc:AlternateContent>
    <mc:AlternateContent xmlns:mc="http://schemas.openxmlformats.org/markup-compatibility/2006">
      <mc:Choice Requires="x14">
        <oleObject progId="Equation.DSMT4" shapeId="4108" r:id="rId19">
          <objectPr defaultSize="0" autoPict="0" r:id="rId20">
            <anchor moveWithCells="1">
              <from>
                <xdr:col>11</xdr:col>
                <xdr:colOff>314325</xdr:colOff>
                <xdr:row>30</xdr:row>
                <xdr:rowOff>38100</xdr:rowOff>
              </from>
              <to>
                <xdr:col>14</xdr:col>
                <xdr:colOff>676275</xdr:colOff>
                <xdr:row>34</xdr:row>
                <xdr:rowOff>171450</xdr:rowOff>
              </to>
            </anchor>
          </objectPr>
        </oleObject>
      </mc:Choice>
      <mc:Fallback>
        <oleObject progId="Equation.DSMT4" shapeId="4108" r:id="rId19"/>
      </mc:Fallback>
    </mc:AlternateContent>
    <mc:AlternateContent xmlns:mc="http://schemas.openxmlformats.org/markup-compatibility/2006">
      <mc:Choice Requires="x14">
        <oleObject progId="Equation.DSMT4" shapeId="4109" r:id="rId21">
          <objectPr defaultSize="0" autoPict="0" r:id="rId22">
            <anchor moveWithCells="1">
              <from>
                <xdr:col>11</xdr:col>
                <xdr:colOff>0</xdr:colOff>
                <xdr:row>34</xdr:row>
                <xdr:rowOff>190500</xdr:rowOff>
              </from>
              <to>
                <xdr:col>14</xdr:col>
                <xdr:colOff>361950</xdr:colOff>
                <xdr:row>38</xdr:row>
                <xdr:rowOff>0</xdr:rowOff>
              </to>
            </anchor>
          </objectPr>
        </oleObject>
      </mc:Choice>
      <mc:Fallback>
        <oleObject progId="Equation.DSMT4" shapeId="4109" r:id="rId21"/>
      </mc:Fallback>
    </mc:AlternateContent>
    <mc:AlternateContent xmlns:mc="http://schemas.openxmlformats.org/markup-compatibility/2006">
      <mc:Choice Requires="x14">
        <oleObject progId="Equation.DSMT4" shapeId="4110" r:id="rId23">
          <objectPr defaultSize="0" autoPict="0" r:id="rId24">
            <anchor moveWithCells="1">
              <from>
                <xdr:col>7</xdr:col>
                <xdr:colOff>609600</xdr:colOff>
                <xdr:row>39</xdr:row>
                <xdr:rowOff>66675</xdr:rowOff>
              </from>
              <to>
                <xdr:col>12</xdr:col>
                <xdr:colOff>190500</xdr:colOff>
                <xdr:row>42</xdr:row>
                <xdr:rowOff>152400</xdr:rowOff>
              </to>
            </anchor>
          </objectPr>
        </oleObject>
      </mc:Choice>
      <mc:Fallback>
        <oleObject progId="Equation.DSMT4" shapeId="4110" r:id="rId23"/>
      </mc:Fallback>
    </mc:AlternateContent>
    <mc:AlternateContent xmlns:mc="http://schemas.openxmlformats.org/markup-compatibility/2006">
      <mc:Choice Requires="x14">
        <oleObject progId="Equation.DSMT4" shapeId="4111" r:id="rId25">
          <objectPr defaultSize="0" autoPict="0" r:id="rId26">
            <anchor moveWithCells="1">
              <from>
                <xdr:col>15</xdr:col>
                <xdr:colOff>76200</xdr:colOff>
                <xdr:row>38</xdr:row>
                <xdr:rowOff>114300</xdr:rowOff>
              </from>
              <to>
                <xdr:col>20</xdr:col>
                <xdr:colOff>323850</xdr:colOff>
                <xdr:row>42</xdr:row>
                <xdr:rowOff>47625</xdr:rowOff>
              </to>
            </anchor>
          </objectPr>
        </oleObject>
      </mc:Choice>
      <mc:Fallback>
        <oleObject progId="Equation.DSMT4" shapeId="4111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17</vt:i4>
      </vt:variant>
    </vt:vector>
  </HeadingPairs>
  <TitlesOfParts>
    <vt:vector size="21" baseType="lpstr">
      <vt:lpstr>OptonsPayoff</vt:lpstr>
      <vt:lpstr>OptionPortfolioProfit</vt:lpstr>
      <vt:lpstr>OptionPortfolioProfit_v2</vt:lpstr>
      <vt:lpstr>BSM_model&amp;Greeks</vt:lpstr>
      <vt:lpstr>cSize</vt:lpstr>
      <vt:lpstr>dOne</vt:lpstr>
      <vt:lpstr>dTwo</vt:lpstr>
      <vt:lpstr>eqt</vt:lpstr>
      <vt:lpstr>ert</vt:lpstr>
      <vt:lpstr>K</vt:lpstr>
      <vt:lpstr>NdOne</vt:lpstr>
      <vt:lpstr>NdTwo</vt:lpstr>
      <vt:lpstr>NmdOne</vt:lpstr>
      <vt:lpstr>NmdTwo</vt:lpstr>
      <vt:lpstr>NpdOne</vt:lpstr>
      <vt:lpstr>q</vt:lpstr>
      <vt:lpstr>radj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2013-11-17T07:59:40Z</dcterms:created>
  <dcterms:modified xsi:type="dcterms:W3CDTF">2013-11-18T07:43:16Z</dcterms:modified>
</cp:coreProperties>
</file>