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inkPad\Dropbox\workspace\office15\"/>
    </mc:Choice>
  </mc:AlternateContent>
  <bookViews>
    <workbookView xWindow="0" yWindow="0" windowWidth="20490" windowHeight="9195" firstSheet="3" activeTab="4"/>
  </bookViews>
  <sheets>
    <sheet name="Fig7.6" sheetId="1" r:id="rId1"/>
    <sheet name="Fig7.7" sheetId="2" r:id="rId2"/>
    <sheet name="LoanAmort" sheetId="3" r:id="rId3"/>
    <sheet name="FinancialStatementModel" sheetId="4" r:id="rId4"/>
    <sheet name="CashFlowStatements" sheetId="5" r:id="rId5"/>
  </sheets>
  <definedNames>
    <definedName name="A">Fig7.7!$B$3</definedName>
    <definedName name="ln_1">LoanAmort!$B$7</definedName>
    <definedName name="ln_2">LoanAmort!$B$8</definedName>
    <definedName name="ln_3">LoanAmort!$B$9</definedName>
    <definedName name="n">Fig7.7!$B$4</definedName>
    <definedName name="P">LoanAmort!$B$4</definedName>
    <definedName name="rr">Fig7.7!$B$5</definedName>
    <definedName name="rr_1">LoanAmort!$C$7</definedName>
    <definedName name="rr_2">LoanAmort!$C$8</definedName>
    <definedName name="rr_3">LoanAmort!$C$9</definedName>
  </definedNames>
  <calcPr calcId="152511" iterate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1" i="4" l="1"/>
  <c r="J61" i="4"/>
  <c r="K61" i="4"/>
  <c r="I32" i="4"/>
  <c r="J32" i="4"/>
  <c r="K32" i="4"/>
  <c r="I33" i="4"/>
  <c r="J33" i="4"/>
  <c r="K33" i="4"/>
  <c r="I34" i="4"/>
  <c r="J34" i="4"/>
  <c r="K34" i="4"/>
  <c r="I35" i="4"/>
  <c r="J35" i="4"/>
  <c r="K35" i="4"/>
  <c r="I36" i="4"/>
  <c r="J36" i="4"/>
  <c r="K36" i="4"/>
  <c r="I37" i="4"/>
  <c r="J37" i="4"/>
  <c r="K37" i="4"/>
  <c r="I38" i="4"/>
  <c r="J38" i="4"/>
  <c r="K38" i="4"/>
  <c r="I39" i="4"/>
  <c r="J39" i="4"/>
  <c r="K39" i="4"/>
  <c r="I40" i="4"/>
  <c r="J40" i="4"/>
  <c r="K40" i="4"/>
  <c r="I41" i="4"/>
  <c r="J41" i="4"/>
  <c r="K41" i="4"/>
  <c r="I42" i="4"/>
  <c r="J42" i="4"/>
  <c r="K42" i="4"/>
  <c r="I43" i="4"/>
  <c r="J43" i="4"/>
  <c r="K43" i="4"/>
  <c r="I44" i="4"/>
  <c r="J44" i="4"/>
  <c r="K44" i="4"/>
  <c r="I45" i="4"/>
  <c r="J45" i="4"/>
  <c r="K45" i="4"/>
  <c r="I46" i="4"/>
  <c r="J46" i="4"/>
  <c r="K46" i="4"/>
  <c r="I47" i="4"/>
  <c r="J47" i="4"/>
  <c r="K47" i="4"/>
  <c r="I48" i="4"/>
  <c r="J48" i="4"/>
  <c r="K48" i="4"/>
  <c r="I49" i="4"/>
  <c r="J49" i="4"/>
  <c r="K49" i="4"/>
  <c r="I50" i="4"/>
  <c r="J50" i="4"/>
  <c r="K50" i="4"/>
  <c r="I51" i="4"/>
  <c r="J51" i="4"/>
  <c r="K51" i="4"/>
  <c r="I52" i="4"/>
  <c r="J52" i="4"/>
  <c r="K52" i="4"/>
  <c r="I53" i="4"/>
  <c r="J53" i="4"/>
  <c r="K53" i="4"/>
  <c r="I54" i="4"/>
  <c r="J54" i="4"/>
  <c r="K54" i="4"/>
  <c r="I55" i="4"/>
  <c r="J55" i="4"/>
  <c r="K55" i="4"/>
  <c r="I56" i="4"/>
  <c r="J56" i="4"/>
  <c r="K56" i="4"/>
  <c r="I57" i="4"/>
  <c r="J57" i="4"/>
  <c r="K57" i="4"/>
  <c r="I58" i="4"/>
  <c r="J58" i="4"/>
  <c r="K58" i="4"/>
  <c r="I59" i="4"/>
  <c r="J59" i="4"/>
  <c r="K59" i="4"/>
  <c r="I60" i="4"/>
  <c r="J60" i="4"/>
  <c r="K60" i="4"/>
  <c r="J31" i="4"/>
  <c r="K31" i="4"/>
  <c r="I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31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6" i="4"/>
  <c r="J6" i="4"/>
  <c r="K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6" i="4"/>
  <c r="D35" i="5" l="1"/>
  <c r="E35" i="5"/>
  <c r="C35" i="5"/>
  <c r="D34" i="5"/>
  <c r="E34" i="5"/>
  <c r="D33" i="5"/>
  <c r="E33" i="5"/>
  <c r="C34" i="5"/>
  <c r="C33" i="5"/>
  <c r="D27" i="5"/>
  <c r="E27" i="5"/>
  <c r="C27" i="5"/>
  <c r="C28" i="5" s="1"/>
  <c r="D20" i="5"/>
  <c r="E20" i="5"/>
  <c r="D19" i="5"/>
  <c r="E19" i="5"/>
  <c r="E21" i="5" s="1"/>
  <c r="C20" i="5"/>
  <c r="C19" i="5"/>
  <c r="D28" i="5"/>
  <c r="E28" i="5"/>
  <c r="D25" i="5"/>
  <c r="E25" i="5"/>
  <c r="C25" i="5"/>
  <c r="D24" i="5"/>
  <c r="E24" i="5"/>
  <c r="C24" i="5"/>
  <c r="D21" i="5"/>
  <c r="C21" i="5"/>
  <c r="D16" i="5"/>
  <c r="E16" i="5"/>
  <c r="C16" i="5"/>
  <c r="D15" i="5"/>
  <c r="E15" i="5"/>
  <c r="C15" i="5"/>
  <c r="D14" i="5"/>
  <c r="E14" i="5"/>
  <c r="C14" i="5"/>
  <c r="D13" i="5"/>
  <c r="E13" i="5"/>
  <c r="C13" i="5"/>
  <c r="D12" i="5"/>
  <c r="E12" i="5"/>
  <c r="C12" i="5"/>
  <c r="D11" i="5"/>
  <c r="E11" i="5"/>
  <c r="C11" i="5"/>
  <c r="D10" i="5"/>
  <c r="E10" i="5"/>
  <c r="C10" i="5"/>
  <c r="D9" i="5"/>
  <c r="E9" i="5"/>
  <c r="C9" i="5"/>
  <c r="C8" i="5"/>
  <c r="D8" i="5"/>
  <c r="E8" i="5"/>
  <c r="C7" i="5"/>
  <c r="D7" i="5"/>
  <c r="E7" i="5"/>
  <c r="C35" i="4"/>
  <c r="D35" i="4"/>
  <c r="E35" i="4"/>
  <c r="B35" i="4"/>
  <c r="C59" i="4"/>
  <c r="D59" i="4"/>
  <c r="E59" i="4"/>
  <c r="B59" i="4"/>
  <c r="C50" i="4"/>
  <c r="C55" i="4" s="1"/>
  <c r="D50" i="4"/>
  <c r="D55" i="4" s="1"/>
  <c r="E50" i="4"/>
  <c r="E55" i="4" s="1"/>
  <c r="B50" i="4"/>
  <c r="B55" i="4" s="1"/>
  <c r="C39" i="4"/>
  <c r="C42" i="4" s="1"/>
  <c r="D39" i="4"/>
  <c r="D42" i="4" s="1"/>
  <c r="E39" i="4"/>
  <c r="E42" i="4" s="1"/>
  <c r="B39" i="4"/>
  <c r="B42" i="4" s="1"/>
  <c r="E30" i="5" l="1"/>
  <c r="D30" i="5"/>
  <c r="C30" i="5"/>
  <c r="E44" i="4"/>
  <c r="B44" i="4"/>
  <c r="C44" i="4"/>
  <c r="D44" i="4"/>
  <c r="C8" i="4"/>
  <c r="C13" i="4" s="1"/>
  <c r="C17" i="4" s="1"/>
  <c r="C20" i="4" s="1"/>
  <c r="C23" i="4" s="1"/>
  <c r="D8" i="4"/>
  <c r="D13" i="4" s="1"/>
  <c r="D17" i="4" s="1"/>
  <c r="D20" i="4" s="1"/>
  <c r="D23" i="4" s="1"/>
  <c r="E8" i="4"/>
  <c r="E13" i="4" s="1"/>
  <c r="E17" i="4" s="1"/>
  <c r="E20" i="4" s="1"/>
  <c r="E23" i="4" s="1"/>
  <c r="B8" i="4"/>
  <c r="B13" i="4" s="1"/>
  <c r="B17" i="4" s="1"/>
  <c r="B20" i="4" s="1"/>
  <c r="B23" i="4" s="1"/>
  <c r="C19" i="3" l="1"/>
  <c r="C23" i="3"/>
  <c r="C27" i="3"/>
  <c r="C31" i="3"/>
  <c r="C35" i="3"/>
  <c r="C39" i="3"/>
  <c r="C43" i="3"/>
  <c r="C47" i="3"/>
  <c r="D35" i="3"/>
  <c r="E35" i="3" s="1"/>
  <c r="D39" i="3"/>
  <c r="D43" i="3"/>
  <c r="D47" i="3"/>
  <c r="G19" i="3"/>
  <c r="G20" i="3"/>
  <c r="G21" i="3"/>
  <c r="G22" i="3"/>
  <c r="G23" i="3"/>
  <c r="G24" i="3"/>
  <c r="G25" i="3"/>
  <c r="G29" i="3"/>
  <c r="G33" i="3"/>
  <c r="G37" i="3"/>
  <c r="G41" i="3"/>
  <c r="G45" i="3"/>
  <c r="G18" i="3"/>
  <c r="B18" i="3"/>
  <c r="A41" i="3"/>
  <c r="A19" i="3"/>
  <c r="A23" i="3"/>
  <c r="A27" i="3"/>
  <c r="A31" i="3"/>
  <c r="A35" i="3"/>
  <c r="A39" i="3"/>
  <c r="H41" i="3"/>
  <c r="H42" i="3" s="1"/>
  <c r="H43" i="3" s="1"/>
  <c r="H44" i="3" s="1"/>
  <c r="H45" i="3" s="1"/>
  <c r="H46" i="3" s="1"/>
  <c r="H47" i="3" s="1"/>
  <c r="H20" i="3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19" i="3"/>
  <c r="B11" i="3"/>
  <c r="C20" i="3" s="1"/>
  <c r="A38" i="3" l="1"/>
  <c r="A34" i="3"/>
  <c r="A30" i="3"/>
  <c r="A26" i="3"/>
  <c r="A22" i="3"/>
  <c r="A44" i="3"/>
  <c r="A47" i="3"/>
  <c r="G44" i="3"/>
  <c r="G40" i="3"/>
  <c r="G36" i="3"/>
  <c r="G32" i="3"/>
  <c r="G28" i="3"/>
  <c r="D46" i="3"/>
  <c r="D42" i="3"/>
  <c r="D38" i="3"/>
  <c r="D34" i="3"/>
  <c r="C46" i="3"/>
  <c r="C42" i="3"/>
  <c r="C38" i="3"/>
  <c r="C34" i="3"/>
  <c r="C30" i="3"/>
  <c r="C26" i="3"/>
  <c r="C22" i="3"/>
  <c r="A18" i="3"/>
  <c r="A37" i="3"/>
  <c r="A33" i="3"/>
  <c r="A29" i="3"/>
  <c r="A25" i="3"/>
  <c r="A21" i="3"/>
  <c r="A43" i="3"/>
  <c r="A46" i="3"/>
  <c r="G47" i="3"/>
  <c r="G43" i="3"/>
  <c r="G39" i="3"/>
  <c r="G35" i="3"/>
  <c r="G31" i="3"/>
  <c r="G27" i="3"/>
  <c r="D45" i="3"/>
  <c r="D41" i="3"/>
  <c r="D37" i="3"/>
  <c r="D33" i="3"/>
  <c r="C45" i="3"/>
  <c r="C41" i="3"/>
  <c r="C37" i="3"/>
  <c r="E37" i="3" s="1"/>
  <c r="C33" i="3"/>
  <c r="E33" i="3" s="1"/>
  <c r="C29" i="3"/>
  <c r="C25" i="3"/>
  <c r="C21" i="3"/>
  <c r="A40" i="3"/>
  <c r="A36" i="3"/>
  <c r="A32" i="3"/>
  <c r="A28" i="3"/>
  <c r="A24" i="3"/>
  <c r="A20" i="3"/>
  <c r="A42" i="3"/>
  <c r="A45" i="3"/>
  <c r="G46" i="3"/>
  <c r="G42" i="3"/>
  <c r="G38" i="3"/>
  <c r="G34" i="3"/>
  <c r="G30" i="3"/>
  <c r="G26" i="3"/>
  <c r="D18" i="3"/>
  <c r="D44" i="3"/>
  <c r="D40" i="3"/>
  <c r="D36" i="3"/>
  <c r="C18" i="3"/>
  <c r="E18" i="3" s="1"/>
  <c r="F18" i="3" s="1"/>
  <c r="C44" i="3"/>
  <c r="E44" i="3" s="1"/>
  <c r="C40" i="3"/>
  <c r="C36" i="3"/>
  <c r="C32" i="3"/>
  <c r="C28" i="3"/>
  <c r="C24" i="3"/>
  <c r="E47" i="3"/>
  <c r="E39" i="3"/>
  <c r="E40" i="3"/>
  <c r="E43" i="3"/>
  <c r="E45" i="3"/>
  <c r="E41" i="3"/>
  <c r="B19" i="3"/>
  <c r="F22" i="2"/>
  <c r="G22" i="2" s="1"/>
  <c r="D20" i="2"/>
  <c r="C20" i="2"/>
  <c r="F21" i="2"/>
  <c r="H21" i="2" s="1"/>
  <c r="F23" i="2"/>
  <c r="H23" i="2" s="1"/>
  <c r="F24" i="2"/>
  <c r="H24" i="2" s="1"/>
  <c r="F25" i="2"/>
  <c r="H25" i="2" s="1"/>
  <c r="F26" i="2"/>
  <c r="G26" i="2" s="1"/>
  <c r="F27" i="2"/>
  <c r="G27" i="2" s="1"/>
  <c r="F28" i="2"/>
  <c r="H28" i="2" s="1"/>
  <c r="F29" i="2"/>
  <c r="H29" i="2" s="1"/>
  <c r="F30" i="2"/>
  <c r="G30" i="2" s="1"/>
  <c r="F31" i="2"/>
  <c r="H31" i="2" s="1"/>
  <c r="F32" i="2"/>
  <c r="G32" i="2" s="1"/>
  <c r="F33" i="2"/>
  <c r="H33" i="2" s="1"/>
  <c r="F34" i="2"/>
  <c r="G34" i="2" s="1"/>
  <c r="F35" i="2"/>
  <c r="H35" i="2" s="1"/>
  <c r="F36" i="2"/>
  <c r="H36" i="2" s="1"/>
  <c r="F37" i="2"/>
  <c r="H37" i="2" s="1"/>
  <c r="F38" i="2"/>
  <c r="G38" i="2" s="1"/>
  <c r="F39" i="2"/>
  <c r="H39" i="2" s="1"/>
  <c r="F40" i="2"/>
  <c r="H40" i="2" s="1"/>
  <c r="F41" i="2"/>
  <c r="H41" i="2" s="1"/>
  <c r="F42" i="2"/>
  <c r="G42" i="2" s="1"/>
  <c r="F43" i="2"/>
  <c r="G43" i="2" s="1"/>
  <c r="F44" i="2"/>
  <c r="H44" i="2" s="1"/>
  <c r="F45" i="2"/>
  <c r="H45" i="2" s="1"/>
  <c r="F46" i="2"/>
  <c r="G46" i="2" s="1"/>
  <c r="F47" i="2"/>
  <c r="H47" i="2" s="1"/>
  <c r="F48" i="2"/>
  <c r="G48" i="2" s="1"/>
  <c r="F49" i="2"/>
  <c r="H49" i="2" s="1"/>
  <c r="F50" i="2"/>
  <c r="G50" i="2" s="1"/>
  <c r="F20" i="2"/>
  <c r="H20" i="2" s="1"/>
  <c r="B22" i="2"/>
  <c r="C22" i="2" s="1"/>
  <c r="B23" i="2"/>
  <c r="C23" i="2" s="1"/>
  <c r="B24" i="2"/>
  <c r="D24" i="2" s="1"/>
  <c r="B25" i="2"/>
  <c r="C25" i="2" s="1"/>
  <c r="B26" i="2"/>
  <c r="C26" i="2" s="1"/>
  <c r="B27" i="2"/>
  <c r="C27" i="2" s="1"/>
  <c r="B28" i="2"/>
  <c r="D28" i="2" s="1"/>
  <c r="B29" i="2"/>
  <c r="C29" i="2" s="1"/>
  <c r="B30" i="2"/>
  <c r="C30" i="2" s="1"/>
  <c r="B31" i="2"/>
  <c r="C31" i="2" s="1"/>
  <c r="B32" i="2"/>
  <c r="D32" i="2" s="1"/>
  <c r="B33" i="2"/>
  <c r="C33" i="2" s="1"/>
  <c r="B34" i="2"/>
  <c r="C34" i="2" s="1"/>
  <c r="B35" i="2"/>
  <c r="C35" i="2" s="1"/>
  <c r="B36" i="2"/>
  <c r="D36" i="2" s="1"/>
  <c r="B37" i="2"/>
  <c r="C37" i="2" s="1"/>
  <c r="B38" i="2"/>
  <c r="C38" i="2" s="1"/>
  <c r="B39" i="2"/>
  <c r="C39" i="2" s="1"/>
  <c r="B40" i="2"/>
  <c r="D40" i="2" s="1"/>
  <c r="B41" i="2"/>
  <c r="C41" i="2" s="1"/>
  <c r="B42" i="2"/>
  <c r="C42" i="2" s="1"/>
  <c r="B43" i="2"/>
  <c r="C43" i="2" s="1"/>
  <c r="B44" i="2"/>
  <c r="D44" i="2" s="1"/>
  <c r="B45" i="2"/>
  <c r="C45" i="2" s="1"/>
  <c r="B46" i="2"/>
  <c r="C46" i="2" s="1"/>
  <c r="B47" i="2"/>
  <c r="C47" i="2" s="1"/>
  <c r="B48" i="2"/>
  <c r="D48" i="2" s="1"/>
  <c r="B49" i="2"/>
  <c r="C49" i="2" s="1"/>
  <c r="B50" i="2"/>
  <c r="C50" i="2" s="1"/>
  <c r="B21" i="2"/>
  <c r="C21" i="2" s="1"/>
  <c r="B11" i="2"/>
  <c r="B10" i="2"/>
  <c r="B15" i="2"/>
  <c r="B14" i="2"/>
  <c r="E38" i="3" l="1"/>
  <c r="E34" i="3"/>
  <c r="E36" i="3"/>
  <c r="E42" i="3"/>
  <c r="E46" i="3"/>
  <c r="D19" i="3"/>
  <c r="E19" i="3" s="1"/>
  <c r="F19" i="3" s="1"/>
  <c r="B20" i="3" s="1"/>
  <c r="D20" i="3" s="1"/>
  <c r="E20" i="3" s="1"/>
  <c r="F20" i="3" s="1"/>
  <c r="B21" i="3" s="1"/>
  <c r="G47" i="2"/>
  <c r="G20" i="2"/>
  <c r="H43" i="2"/>
  <c r="D38" i="2"/>
  <c r="G36" i="2"/>
  <c r="D22" i="2"/>
  <c r="G35" i="2"/>
  <c r="G31" i="2"/>
  <c r="H27" i="2"/>
  <c r="G41" i="2"/>
  <c r="G25" i="2"/>
  <c r="D47" i="2"/>
  <c r="D31" i="2"/>
  <c r="G45" i="2"/>
  <c r="G40" i="2"/>
  <c r="G29" i="2"/>
  <c r="G24" i="2"/>
  <c r="H48" i="2"/>
  <c r="H32" i="2"/>
  <c r="D46" i="2"/>
  <c r="D30" i="2"/>
  <c r="G49" i="2"/>
  <c r="G44" i="2"/>
  <c r="G39" i="2"/>
  <c r="G33" i="2"/>
  <c r="G28" i="2"/>
  <c r="G23" i="2"/>
  <c r="D39" i="2"/>
  <c r="D23" i="2"/>
  <c r="G37" i="2"/>
  <c r="G21" i="2"/>
  <c r="D43" i="2"/>
  <c r="D35" i="2"/>
  <c r="D27" i="2"/>
  <c r="H50" i="2"/>
  <c r="H46" i="2"/>
  <c r="H42" i="2"/>
  <c r="H38" i="2"/>
  <c r="H34" i="2"/>
  <c r="H30" i="2"/>
  <c r="H26" i="2"/>
  <c r="H22" i="2"/>
  <c r="D50" i="2"/>
  <c r="D42" i="2"/>
  <c r="D34" i="2"/>
  <c r="D26" i="2"/>
  <c r="C48" i="2"/>
  <c r="C40" i="2"/>
  <c r="C32" i="2"/>
  <c r="D49" i="2"/>
  <c r="D45" i="2"/>
  <c r="D41" i="2"/>
  <c r="D37" i="2"/>
  <c r="D33" i="2"/>
  <c r="D29" i="2"/>
  <c r="D25" i="2"/>
  <c r="D21" i="2"/>
  <c r="C44" i="2"/>
  <c r="C36" i="2"/>
  <c r="C28" i="2"/>
  <c r="C24" i="2"/>
  <c r="B9" i="1"/>
  <c r="D16" i="1" s="1"/>
  <c r="B8" i="1"/>
  <c r="C16" i="1" s="1"/>
  <c r="D21" i="3" l="1"/>
  <c r="E21" i="3" s="1"/>
  <c r="F21" i="3" s="1"/>
  <c r="B22" i="3" s="1"/>
  <c r="D22" i="3" l="1"/>
  <c r="E22" i="3" s="1"/>
  <c r="F22" i="3" s="1"/>
  <c r="B23" i="3" s="1"/>
  <c r="D23" i="3" l="1"/>
  <c r="E23" i="3" s="1"/>
  <c r="F23" i="3" s="1"/>
  <c r="B24" i="3" s="1"/>
  <c r="D24" i="3" l="1"/>
  <c r="E24" i="3" s="1"/>
  <c r="F24" i="3" s="1"/>
  <c r="B25" i="3" s="1"/>
  <c r="D25" i="3" l="1"/>
  <c r="E25" i="3" s="1"/>
  <c r="F25" i="3" s="1"/>
  <c r="B26" i="3" s="1"/>
  <c r="D26" i="3" l="1"/>
  <c r="E26" i="3" s="1"/>
  <c r="F26" i="3" s="1"/>
  <c r="B27" i="3" s="1"/>
  <c r="D27" i="3" l="1"/>
  <c r="E27" i="3" s="1"/>
  <c r="F27" i="3" s="1"/>
  <c r="B28" i="3" s="1"/>
  <c r="D28" i="3" l="1"/>
  <c r="E28" i="3" s="1"/>
  <c r="F28" i="3" s="1"/>
  <c r="B29" i="3" s="1"/>
  <c r="D29" i="3" l="1"/>
  <c r="E29" i="3" s="1"/>
  <c r="F29" i="3" s="1"/>
  <c r="B30" i="3" s="1"/>
  <c r="D30" i="3" l="1"/>
  <c r="E30" i="3" s="1"/>
  <c r="F30" i="3" s="1"/>
  <c r="B31" i="3" s="1"/>
  <c r="D31" i="3" l="1"/>
  <c r="E31" i="3" s="1"/>
  <c r="F31" i="3" s="1"/>
  <c r="B32" i="3" s="1"/>
  <c r="D32" i="3" l="1"/>
  <c r="E32" i="3" s="1"/>
  <c r="F32" i="3" s="1"/>
  <c r="B33" i="3" s="1"/>
  <c r="F33" i="3" l="1"/>
  <c r="B34" i="3" s="1"/>
  <c r="F34" i="3" l="1"/>
  <c r="B35" i="3" s="1"/>
  <c r="F35" i="3" l="1"/>
  <c r="B36" i="3" s="1"/>
  <c r="F36" i="3" l="1"/>
  <c r="B37" i="3" s="1"/>
  <c r="F37" i="3" l="1"/>
  <c r="B38" i="3" s="1"/>
  <c r="F38" i="3" l="1"/>
  <c r="B39" i="3" s="1"/>
  <c r="F39" i="3" l="1"/>
  <c r="B40" i="3" s="1"/>
  <c r="F40" i="3" l="1"/>
  <c r="B41" i="3" s="1"/>
  <c r="F41" i="3" l="1"/>
  <c r="B42" i="3" s="1"/>
  <c r="F42" i="3" l="1"/>
  <c r="B43" i="3" s="1"/>
  <c r="F43" i="3" l="1"/>
  <c r="B44" i="3" s="1"/>
  <c r="F44" i="3" l="1"/>
  <c r="B45" i="3" s="1"/>
  <c r="F45" i="3" l="1"/>
  <c r="B46" i="3" s="1"/>
  <c r="F46" i="3" l="1"/>
  <c r="B47" i="3" s="1"/>
  <c r="F47" i="3" s="1"/>
  <c r="B61" i="4" l="1"/>
  <c r="C61" i="4"/>
  <c r="D61" i="4"/>
  <c r="E61" i="4"/>
</calcChain>
</file>

<file path=xl/sharedStrings.xml><?xml version="1.0" encoding="utf-8"?>
<sst xmlns="http://schemas.openxmlformats.org/spreadsheetml/2006/main" count="178" uniqueCount="127">
  <si>
    <t>Effect Of Compounding Frequency</t>
    <phoneticPr fontId="1" type="noConversion"/>
  </si>
  <si>
    <t>Nomial annual interest rate (APR)</t>
    <phoneticPr fontId="1" type="noConversion"/>
  </si>
  <si>
    <t>Number of compounding periods per year</t>
    <phoneticPr fontId="1" type="noConversion"/>
  </si>
  <si>
    <t xml:space="preserve">Amount of inial investment </t>
    <phoneticPr fontId="1" type="noConversion"/>
  </si>
  <si>
    <t>Length of investment period(years)</t>
    <phoneticPr fontId="1" type="noConversion"/>
  </si>
  <si>
    <t>Effective interest rate</t>
    <phoneticPr fontId="1" type="noConversion"/>
  </si>
  <si>
    <t>Future value of investment</t>
    <phoneticPr fontId="1" type="noConversion"/>
  </si>
  <si>
    <t>Componding period</t>
    <phoneticPr fontId="1" type="noConversion"/>
  </si>
  <si>
    <t>annual</t>
    <phoneticPr fontId="1" type="noConversion"/>
  </si>
  <si>
    <t>semi-annual</t>
    <phoneticPr fontId="1" type="noConversion"/>
  </si>
  <si>
    <t>quarterly</t>
    <phoneticPr fontId="1" type="noConversion"/>
  </si>
  <si>
    <t>monthly</t>
    <phoneticPr fontId="1" type="noConversion"/>
  </si>
  <si>
    <t>weekly</t>
    <phoneticPr fontId="1" type="noConversion"/>
  </si>
  <si>
    <t>daily</t>
    <phoneticPr fontId="1" type="noConversion"/>
  </si>
  <si>
    <t>bi-weekly</t>
    <phoneticPr fontId="1" type="noConversion"/>
  </si>
  <si>
    <t>Effective</t>
    <phoneticPr fontId="1" type="noConversion"/>
  </si>
  <si>
    <t>Interest Rate</t>
    <phoneticPr fontId="1" type="noConversion"/>
  </si>
  <si>
    <t>Future</t>
    <phoneticPr fontId="1" type="noConversion"/>
  </si>
  <si>
    <t>Value</t>
    <phoneticPr fontId="1" type="noConversion"/>
  </si>
  <si>
    <t>Present And Future Values For Constant Annuities</t>
    <phoneticPr fontId="1" type="noConversion"/>
  </si>
  <si>
    <t>annual saving (A)</t>
    <phoneticPr fontId="1" type="noConversion"/>
  </si>
  <si>
    <t>annuity in arrears</t>
    <phoneticPr fontId="1" type="noConversion"/>
  </si>
  <si>
    <t>present value</t>
    <phoneticPr fontId="1" type="noConversion"/>
  </si>
  <si>
    <t>future value</t>
    <phoneticPr fontId="1" type="noConversion"/>
  </si>
  <si>
    <t>annuity in advance</t>
    <phoneticPr fontId="1" type="noConversion"/>
  </si>
  <si>
    <t>Table for annuity in arrears</t>
    <phoneticPr fontId="1" type="noConversion"/>
  </si>
  <si>
    <t>Table for annuity in advance</t>
    <phoneticPr fontId="1" type="noConversion"/>
  </si>
  <si>
    <t>cash flow</t>
    <phoneticPr fontId="1" type="noConversion"/>
  </si>
  <si>
    <t>pv</t>
    <phoneticPr fontId="1" type="noConversion"/>
  </si>
  <si>
    <t>fv</t>
    <phoneticPr fontId="1" type="noConversion"/>
  </si>
  <si>
    <t>interest rate (rr. % per year)</t>
    <phoneticPr fontId="1" type="noConversion"/>
  </si>
  <si>
    <t>number of years (n. &lt;= 30)</t>
    <phoneticPr fontId="1" type="noConversion"/>
  </si>
  <si>
    <t>time</t>
    <phoneticPr fontId="1" type="noConversion"/>
  </si>
  <si>
    <t>Input Data</t>
    <phoneticPr fontId="1" type="noConversion"/>
  </si>
  <si>
    <t>Initial loan balance(P,$)</t>
    <phoneticPr fontId="1" type="noConversion"/>
  </si>
  <si>
    <t>Period 1</t>
    <phoneticPr fontId="1" type="noConversion"/>
  </si>
  <si>
    <t>Period 2</t>
    <phoneticPr fontId="1" type="noConversion"/>
  </si>
  <si>
    <t>Period 3</t>
    <phoneticPr fontId="1" type="noConversion"/>
  </si>
  <si>
    <t>Length (yrs)</t>
    <phoneticPr fontId="1" type="noConversion"/>
  </si>
  <si>
    <t>Int. Rate</t>
    <phoneticPr fontId="1" type="noConversion"/>
  </si>
  <si>
    <t>Loan Life(yrs)</t>
    <phoneticPr fontId="1" type="noConversion"/>
  </si>
  <si>
    <t>Required annual payment(Apmt, $)</t>
    <phoneticPr fontId="1" type="noConversion"/>
  </si>
  <si>
    <t>Year</t>
    <phoneticPr fontId="1" type="noConversion"/>
  </si>
  <si>
    <t>Year-beg Balance</t>
    <phoneticPr fontId="1" type="noConversion"/>
  </si>
  <si>
    <t>Annual Payment</t>
    <phoneticPr fontId="1" type="noConversion"/>
  </si>
  <si>
    <t>Interest Component</t>
    <phoneticPr fontId="1" type="noConversion"/>
  </si>
  <si>
    <t>Principal Repaid</t>
    <phoneticPr fontId="1" type="noConversion"/>
  </si>
  <si>
    <t>Year-end Balance</t>
    <phoneticPr fontId="1" type="noConversion"/>
  </si>
  <si>
    <t>Interest Rate</t>
    <phoneticPr fontId="1" type="noConversion"/>
  </si>
  <si>
    <t>Year (Auxiliary)</t>
    <phoneticPr fontId="1" type="noConversion"/>
  </si>
  <si>
    <t>Loan Amortization Table for Changing Interest Rate (Goal Seek Approach)</t>
    <phoneticPr fontId="1" type="noConversion"/>
  </si>
  <si>
    <t>Historical Income Statements and Balance Sheets for Vitex Corp</t>
    <phoneticPr fontId="1" type="noConversion"/>
  </si>
  <si>
    <t>Income Statements ($ Million)</t>
    <phoneticPr fontId="1" type="noConversion"/>
  </si>
  <si>
    <t>Year Ending Dec. 31</t>
    <phoneticPr fontId="1" type="noConversion"/>
  </si>
  <si>
    <t>Sales</t>
    <phoneticPr fontId="1" type="noConversion"/>
  </si>
  <si>
    <t>Cost of Sales</t>
    <phoneticPr fontId="1" type="noConversion"/>
  </si>
  <si>
    <t xml:space="preserve">  Gross Operation Incom</t>
    <phoneticPr fontId="1" type="noConversion"/>
  </si>
  <si>
    <t>Selling, General &amp; Admin. Expenses</t>
    <phoneticPr fontId="1" type="noConversion"/>
  </si>
  <si>
    <t>Depreciation</t>
    <phoneticPr fontId="1" type="noConversion"/>
  </si>
  <si>
    <t>Other net (Income)/Expenses</t>
    <phoneticPr fontId="1" type="noConversion"/>
  </si>
  <si>
    <t xml:space="preserve">  EBIT</t>
    <phoneticPr fontId="1" type="noConversion"/>
  </si>
  <si>
    <t>Interest (Income)</t>
    <phoneticPr fontId="1" type="noConversion"/>
  </si>
  <si>
    <t>Interest Expense</t>
    <phoneticPr fontId="1" type="noConversion"/>
  </si>
  <si>
    <t xml:space="preserve">  pre-Tax Income</t>
    <phoneticPr fontId="1" type="noConversion"/>
  </si>
  <si>
    <t>Income Taxes</t>
    <phoneticPr fontId="1" type="noConversion"/>
  </si>
  <si>
    <t xml:space="preserve"> Net Income</t>
    <phoneticPr fontId="1" type="noConversion"/>
  </si>
  <si>
    <t>Dividends</t>
    <phoneticPr fontId="1" type="noConversion"/>
  </si>
  <si>
    <t xml:space="preserve">  Addition to Retained Earnings</t>
    <phoneticPr fontId="1" type="noConversion"/>
  </si>
  <si>
    <t>Balance Sheet ($ Million)</t>
    <phoneticPr fontId="1" type="noConversion"/>
  </si>
  <si>
    <t>Accounts Receivable</t>
    <phoneticPr fontId="1" type="noConversion"/>
  </si>
  <si>
    <t>Inventories</t>
    <phoneticPr fontId="1" type="noConversion"/>
  </si>
  <si>
    <t>Other Current Assets</t>
    <phoneticPr fontId="1" type="noConversion"/>
  </si>
  <si>
    <t xml:space="preserve">  Total Current Assets</t>
    <phoneticPr fontId="1" type="noConversion"/>
  </si>
  <si>
    <t>Property, Plant and Equipment, Gross</t>
    <phoneticPr fontId="1" type="noConversion"/>
  </si>
  <si>
    <t>Accumulated Depreciation</t>
    <phoneticPr fontId="1" type="noConversion"/>
  </si>
  <si>
    <t xml:space="preserve">  Property, Plant and Equipment, Net</t>
    <phoneticPr fontId="1" type="noConversion"/>
  </si>
  <si>
    <t>Other Non-Current Assets</t>
    <phoneticPr fontId="1" type="noConversion"/>
  </si>
  <si>
    <t xml:space="preserve">  Total Non-Current Assets</t>
    <phoneticPr fontId="1" type="noConversion"/>
  </si>
  <si>
    <t>Total Assets</t>
    <phoneticPr fontId="1" type="noConversion"/>
  </si>
  <si>
    <t>Liabilities and Shareholders' Equity</t>
    <phoneticPr fontId="1" type="noConversion"/>
  </si>
  <si>
    <t>Accounts Payable</t>
    <phoneticPr fontId="1" type="noConversion"/>
  </si>
  <si>
    <t>Short-Term Debt</t>
    <phoneticPr fontId="1" type="noConversion"/>
  </si>
  <si>
    <t>Other Current Liabilities</t>
    <phoneticPr fontId="1" type="noConversion"/>
  </si>
  <si>
    <t xml:space="preserve">  Total Current Liabilities</t>
    <phoneticPr fontId="1" type="noConversion"/>
  </si>
  <si>
    <t>Long-Term Debt</t>
    <phoneticPr fontId="1" type="noConversion"/>
  </si>
  <si>
    <t>Deferred Income Taxes</t>
    <phoneticPr fontId="1" type="noConversion"/>
  </si>
  <si>
    <t>Other Non-Current Liabilities</t>
    <phoneticPr fontId="1" type="noConversion"/>
  </si>
  <si>
    <t xml:space="preserve">  Total Liabilities</t>
    <phoneticPr fontId="1" type="noConversion"/>
  </si>
  <si>
    <t>Paid-in Capital</t>
    <phoneticPr fontId="1" type="noConversion"/>
  </si>
  <si>
    <t>Retained Earnings</t>
    <phoneticPr fontId="1" type="noConversion"/>
  </si>
  <si>
    <t xml:space="preserve">  Total Shareholders' Equity</t>
    <phoneticPr fontId="1" type="noConversion"/>
  </si>
  <si>
    <t xml:space="preserve">  Total Liabilities and Shareholders' Equity</t>
    <phoneticPr fontId="1" type="noConversion"/>
  </si>
  <si>
    <t>Other Data</t>
    <phoneticPr fontId="1" type="noConversion"/>
  </si>
  <si>
    <t>Stock price (year-end)</t>
    <phoneticPr fontId="1" type="noConversion"/>
  </si>
  <si>
    <t>Average number of shares outstanding(millions)</t>
    <phoneticPr fontId="1" type="noConversion"/>
  </si>
  <si>
    <t>Cash and Marketable Securities</t>
    <phoneticPr fontId="1" type="noConversion"/>
  </si>
  <si>
    <t>Assets</t>
    <phoneticPr fontId="1" type="noConversion"/>
  </si>
  <si>
    <t>Statements of Cash Flows for Vitex Corp.</t>
    <phoneticPr fontId="1" type="noConversion"/>
  </si>
  <si>
    <t>Millions of Dollors</t>
    <phoneticPr fontId="1" type="noConversion"/>
  </si>
  <si>
    <t>Year Ending Dec. 31,</t>
    <phoneticPr fontId="1" type="noConversion"/>
  </si>
  <si>
    <t>Cash Flows from Operations</t>
    <phoneticPr fontId="1" type="noConversion"/>
  </si>
  <si>
    <t>Net Income</t>
    <phoneticPr fontId="1" type="noConversion"/>
  </si>
  <si>
    <t>Depreciation Expense</t>
    <phoneticPr fontId="1" type="noConversion"/>
  </si>
  <si>
    <t>Decrease/(Increase) in Accounts Receivable</t>
    <phoneticPr fontId="1" type="noConversion"/>
  </si>
  <si>
    <t>Deceased/(Increase) in Inventories</t>
    <phoneticPr fontId="1" type="noConversion"/>
  </si>
  <si>
    <t>Decrease/(Increase) in Other Current Assets</t>
    <phoneticPr fontId="1" type="noConversion"/>
  </si>
  <si>
    <t>Increase/(Decrease) in Accounts Payable</t>
    <phoneticPr fontId="1" type="noConversion"/>
  </si>
  <si>
    <t>Increase/(Decrease) in Other Current Liabilities</t>
    <phoneticPr fontId="1" type="noConversion"/>
  </si>
  <si>
    <t>Increase/(Decrease) in Deferred Income Taxes</t>
    <phoneticPr fontId="1" type="noConversion"/>
  </si>
  <si>
    <t>Increase/(Decrease) in Other Non-Current Liabilities</t>
    <phoneticPr fontId="1" type="noConversion"/>
  </si>
  <si>
    <t xml:space="preserve">  Total Cash Flows from Operations</t>
    <phoneticPr fontId="1" type="noConversion"/>
  </si>
  <si>
    <t>Cash Flows from Investing</t>
    <phoneticPr fontId="1" type="noConversion"/>
  </si>
  <si>
    <t>(Additions to) Property, Plant &amp; Equipment</t>
    <phoneticPr fontId="1" type="noConversion"/>
  </si>
  <si>
    <t>(Investment) in Other Non-Current Assets</t>
    <phoneticPr fontId="1" type="noConversion"/>
  </si>
  <si>
    <t xml:space="preserve">  Total Cash Flows from Investing</t>
    <phoneticPr fontId="1" type="noConversion"/>
  </si>
  <si>
    <t>Cash Flows from Financing</t>
    <phoneticPr fontId="1" type="noConversion"/>
  </si>
  <si>
    <t>From Issuance/(Repayment) of Short-term Debt</t>
    <phoneticPr fontId="1" type="noConversion"/>
  </si>
  <si>
    <t>From Issuance/(Repayment) of Long-term Debt</t>
    <phoneticPr fontId="1" type="noConversion"/>
  </si>
  <si>
    <t>From Sale/(Repurchase) of Equity</t>
    <phoneticPr fontId="1" type="noConversion"/>
  </si>
  <si>
    <t>Cash Dividends Paid to Shareholders</t>
    <phoneticPr fontId="1" type="noConversion"/>
  </si>
  <si>
    <t xml:space="preserve">  Total Cash Flows from Financing</t>
    <phoneticPr fontId="1" type="noConversion"/>
  </si>
  <si>
    <t xml:space="preserve">  Net Change in Cash &amp; Marketable Securities</t>
    <phoneticPr fontId="1" type="noConversion"/>
  </si>
  <si>
    <t>Beginning Cash &amp; Marketable Securities</t>
    <phoneticPr fontId="1" type="noConversion"/>
  </si>
  <si>
    <t>Ending Cash &amp; Marketable Securities</t>
    <phoneticPr fontId="1" type="noConversion"/>
  </si>
  <si>
    <t>??</t>
    <phoneticPr fontId="1" type="noConversion"/>
  </si>
  <si>
    <t>Income Statements</t>
    <phoneticPr fontId="1" type="noConversion"/>
  </si>
  <si>
    <t>Historical Common Size Statementsfor Vitex Corp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</si>
</sst>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¥&quot;#,##0.00;[Red]&quot;¥&quot;\-#,##0.00"/>
    <numFmt numFmtId="24" formatCode="\$#,##0_);[Red]\(\$#,##0\)"/>
    <numFmt numFmtId="176" formatCode="&quot;¥&quot;#,##0.00_);\(&quot;¥&quot;#,##0.00\)"/>
    <numFmt numFmtId="177" formatCode="&quot;¥&quot;#,##0.00;;"/>
    <numFmt numFmtId="178" formatCode="\$#,##0.0_);[Red]\(\$#,##0.0\)"/>
    <numFmt numFmtId="179" formatCode="&quot;¥&quot;#,##0.0_);[Red]\(&quot;¥&quot;#,##0.0\)"/>
    <numFmt numFmtId="180" formatCode="_-\$* #,##0.0_ ;_-\$* \-#,##0.0\ ;_-\$* &quot;-&quot;?_ ;_-@_ "/>
  </numFmts>
  <fonts count="9" x14ac:knownFonts="1">
    <font>
      <sz val="11"/>
      <color theme="1"/>
      <name val="Consolas"/>
      <family val="2"/>
      <charset val="134"/>
    </font>
    <font>
      <sz val="9"/>
      <name val="Consolas"/>
      <family val="2"/>
      <charset val="134"/>
    </font>
    <font>
      <b/>
      <sz val="11"/>
      <color theme="1"/>
      <name val="Consolas"/>
      <family val="3"/>
    </font>
    <font>
      <sz val="11"/>
      <color rgb="FF0070C0"/>
      <name val="Consolas"/>
      <family val="2"/>
      <charset val="134"/>
    </font>
    <font>
      <sz val="11"/>
      <color theme="1"/>
      <name val="Consolas"/>
      <family val="2"/>
      <charset val="134"/>
    </font>
    <font>
      <b/>
      <sz val="15"/>
      <color theme="3"/>
      <name val="Consolas"/>
      <family val="2"/>
      <charset val="134"/>
    </font>
    <font>
      <b/>
      <sz val="11"/>
      <color theme="3"/>
      <name val="Consolas"/>
      <family val="2"/>
      <charset val="134"/>
    </font>
    <font>
      <b/>
      <sz val="11"/>
      <color theme="1"/>
      <name val="Consolas"/>
      <family val="2"/>
      <charset val="134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9" fontId="0" fillId="2" borderId="0" xfId="0" applyNumberFormat="1" applyFill="1">
      <alignment vertical="center"/>
    </xf>
    <xf numFmtId="8" fontId="0" fillId="2" borderId="0" xfId="0" applyNumberFormat="1" applyFill="1">
      <alignment vertical="center"/>
    </xf>
    <xf numFmtId="0" fontId="2" fillId="2" borderId="0" xfId="0" applyFont="1" applyFill="1" applyAlignment="1">
      <alignment horizontal="right" vertical="center"/>
    </xf>
    <xf numFmtId="0" fontId="0" fillId="2" borderId="1" xfId="0" applyFill="1" applyBorder="1">
      <alignment vertical="center"/>
    </xf>
    <xf numFmtId="10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0" xfId="0" applyFill="1" applyAlignment="1">
      <alignment horizontal="right" vertical="center"/>
    </xf>
    <xf numFmtId="0" fontId="3" fillId="3" borderId="0" xfId="0" applyFont="1" applyFill="1" applyBorder="1">
      <alignment vertical="center"/>
    </xf>
    <xf numFmtId="10" fontId="3" fillId="3" borderId="0" xfId="0" applyNumberFormat="1" applyFont="1" applyFill="1" applyBorder="1">
      <alignment vertical="center"/>
    </xf>
    <xf numFmtId="176" fontId="3" fillId="3" borderId="0" xfId="0" applyNumberFormat="1" applyFont="1" applyFill="1" applyBorder="1">
      <alignment vertical="center"/>
    </xf>
    <xf numFmtId="0" fontId="3" fillId="3" borderId="2" xfId="0" applyFont="1" applyFill="1" applyBorder="1">
      <alignment vertical="center"/>
    </xf>
    <xf numFmtId="10" fontId="3" fillId="3" borderId="2" xfId="0" applyNumberFormat="1" applyFont="1" applyFill="1" applyBorder="1">
      <alignment vertical="center"/>
    </xf>
    <xf numFmtId="176" fontId="3" fillId="3" borderId="2" xfId="0" applyNumberFormat="1" applyFont="1" applyFill="1" applyBorder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24" fontId="0" fillId="4" borderId="0" xfId="0" applyNumberFormat="1" applyFill="1">
      <alignment vertical="center"/>
    </xf>
    <xf numFmtId="0" fontId="8" fillId="0" borderId="0" xfId="0" applyFont="1">
      <alignment vertical="center"/>
    </xf>
    <xf numFmtId="178" fontId="0" fillId="2" borderId="0" xfId="0" applyNumberFormat="1" applyFill="1">
      <alignment vertical="center"/>
    </xf>
    <xf numFmtId="178" fontId="2" fillId="2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0" fontId="6" fillId="4" borderId="4" xfId="3" applyFill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178" fontId="6" fillId="4" borderId="4" xfId="3" applyNumberFormat="1" applyFill="1">
      <alignment vertical="center"/>
    </xf>
    <xf numFmtId="178" fontId="0" fillId="4" borderId="0" xfId="1" applyNumberFormat="1" applyFont="1" applyFill="1">
      <alignment vertical="center"/>
    </xf>
    <xf numFmtId="178" fontId="7" fillId="4" borderId="5" xfId="4" applyNumberFormat="1" applyFill="1">
      <alignment vertical="center"/>
    </xf>
    <xf numFmtId="179" fontId="0" fillId="2" borderId="0" xfId="0" applyNumberFormat="1" applyFill="1">
      <alignment vertical="center"/>
    </xf>
    <xf numFmtId="0" fontId="8" fillId="4" borderId="0" xfId="0" applyFont="1" applyFill="1">
      <alignment vertical="center"/>
    </xf>
    <xf numFmtId="0" fontId="8" fillId="2" borderId="0" xfId="0" applyFont="1" applyFill="1">
      <alignment vertical="center"/>
    </xf>
    <xf numFmtId="180" fontId="0" fillId="0" borderId="0" xfId="0" applyNumberFormat="1">
      <alignment vertical="center"/>
    </xf>
    <xf numFmtId="10" fontId="0" fillId="4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5" fillId="4" borderId="3" xfId="2" applyFill="1" applyAlignment="1">
      <alignment horizontal="center" vertical="center"/>
    </xf>
  </cellXfs>
  <cellStyles count="5">
    <cellStyle name="百分比" xfId="1" builtinId="5"/>
    <cellStyle name="标题 1" xfId="2" builtinId="16"/>
    <cellStyle name="标题 3" xfId="3" builtinId="18"/>
    <cellStyle name="常规" xfId="0" builtinId="0"/>
    <cellStyle name="汇总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3"/>
  <sheetViews>
    <sheetView topLeftCell="A4" workbookViewId="0">
      <selection activeCell="A5" sqref="A5"/>
    </sheetView>
  </sheetViews>
  <sheetFormatPr defaultRowHeight="15" x14ac:dyDescent="0.25"/>
  <cols>
    <col min="1" max="1" width="41.625" style="2" customWidth="1"/>
    <col min="2" max="2" width="12.625" style="2" customWidth="1"/>
    <col min="3" max="3" width="15.375" style="2" customWidth="1"/>
    <col min="4" max="4" width="16.25" style="2" customWidth="1"/>
    <col min="5" max="5" width="12.75" style="2" bestFit="1" customWidth="1"/>
    <col min="6" max="16384" width="9" style="2"/>
  </cols>
  <sheetData>
    <row r="1" spans="1:4" x14ac:dyDescent="0.25">
      <c r="A1" s="1" t="s">
        <v>0</v>
      </c>
    </row>
    <row r="3" spans="1:4" x14ac:dyDescent="0.25">
      <c r="A3" s="2" t="s">
        <v>1</v>
      </c>
      <c r="B3" s="3">
        <v>0.08</v>
      </c>
    </row>
    <row r="4" spans="1:4" x14ac:dyDescent="0.25">
      <c r="A4" s="2" t="s">
        <v>2</v>
      </c>
      <c r="B4" s="2">
        <v>2</v>
      </c>
    </row>
    <row r="5" spans="1:4" x14ac:dyDescent="0.25">
      <c r="A5" s="2" t="s">
        <v>3</v>
      </c>
      <c r="B5" s="2">
        <v>100000</v>
      </c>
    </row>
    <row r="6" spans="1:4" x14ac:dyDescent="0.25">
      <c r="A6" s="2" t="s">
        <v>4</v>
      </c>
      <c r="B6" s="2">
        <v>10</v>
      </c>
    </row>
    <row r="8" spans="1:4" x14ac:dyDescent="0.25">
      <c r="A8" s="2" t="s">
        <v>5</v>
      </c>
      <c r="B8" s="2">
        <f>(1+B3/B4)^B4-1</f>
        <v>8.1600000000000117E-2</v>
      </c>
    </row>
    <row r="9" spans="1:4" x14ac:dyDescent="0.25">
      <c r="A9" s="2" t="s">
        <v>6</v>
      </c>
      <c r="B9" s="4">
        <f>FV(B3/B4,B6*B4,0,-B5)</f>
        <v>219112.31430334214</v>
      </c>
    </row>
    <row r="14" spans="1:4" x14ac:dyDescent="0.25">
      <c r="C14" s="1" t="s">
        <v>15</v>
      </c>
      <c r="D14" s="1" t="s">
        <v>17</v>
      </c>
    </row>
    <row r="15" spans="1:4" x14ac:dyDescent="0.25">
      <c r="C15" s="1" t="s">
        <v>16</v>
      </c>
      <c r="D15" s="1" t="s">
        <v>18</v>
      </c>
    </row>
    <row r="16" spans="1:4" x14ac:dyDescent="0.25">
      <c r="A16" s="5" t="s">
        <v>7</v>
      </c>
      <c r="B16" s="6"/>
      <c r="C16" s="7">
        <f>B8</f>
        <v>8.1600000000000117E-2</v>
      </c>
      <c r="D16" s="8">
        <f>B9</f>
        <v>219112.31430334214</v>
      </c>
    </row>
    <row r="17" spans="1:4" x14ac:dyDescent="0.25">
      <c r="A17" s="9" t="s">
        <v>8</v>
      </c>
      <c r="B17" s="10">
        <v>1</v>
      </c>
      <c r="C17" s="11">
        <f t="dataTable" ref="C17:D23" dt2D="0" dtr="0" r1="B4"/>
        <v>8.0000000000000071E-2</v>
      </c>
      <c r="D17" s="12">
        <v>215892.49972727877</v>
      </c>
    </row>
    <row r="18" spans="1:4" x14ac:dyDescent="0.25">
      <c r="A18" s="9" t="s">
        <v>9</v>
      </c>
      <c r="B18" s="10">
        <v>2</v>
      </c>
      <c r="C18" s="11">
        <v>8.1600000000000117E-2</v>
      </c>
      <c r="D18" s="12">
        <v>219112.31430334214</v>
      </c>
    </row>
    <row r="19" spans="1:4" x14ac:dyDescent="0.25">
      <c r="A19" s="9" t="s">
        <v>10</v>
      </c>
      <c r="B19" s="10">
        <v>4</v>
      </c>
      <c r="C19" s="11">
        <v>8.2432159999999977E-2</v>
      </c>
      <c r="D19" s="12">
        <v>220803.96636148519</v>
      </c>
    </row>
    <row r="20" spans="1:4" x14ac:dyDescent="0.25">
      <c r="A20" s="9" t="s">
        <v>11</v>
      </c>
      <c r="B20" s="10">
        <v>12</v>
      </c>
      <c r="C20" s="11">
        <v>8.2999506807510004E-2</v>
      </c>
      <c r="D20" s="12">
        <v>221964.02345447143</v>
      </c>
    </row>
    <row r="21" spans="1:4" x14ac:dyDescent="0.25">
      <c r="A21" s="9" t="s">
        <v>14</v>
      </c>
      <c r="B21" s="10">
        <v>26</v>
      </c>
      <c r="C21" s="11">
        <v>8.3154021069757444E-2</v>
      </c>
      <c r="D21" s="12">
        <v>222280.9085021356</v>
      </c>
    </row>
    <row r="22" spans="1:4" x14ac:dyDescent="0.25">
      <c r="A22" s="9" t="s">
        <v>12</v>
      </c>
      <c r="B22" s="10">
        <v>52</v>
      </c>
      <c r="C22" s="11">
        <v>8.3220474196711303E-2</v>
      </c>
      <c r="D22" s="12">
        <v>222417.31883610293</v>
      </c>
    </row>
    <row r="23" spans="1:4" x14ac:dyDescent="0.25">
      <c r="A23" s="9" t="s">
        <v>13</v>
      </c>
      <c r="B23" s="13">
        <v>365</v>
      </c>
      <c r="C23" s="14">
        <v>8.3277571792814031E-2</v>
      </c>
      <c r="D23" s="15">
        <v>222534.58496312783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0"/>
  <sheetViews>
    <sheetView topLeftCell="A18" zoomScale="98" zoomScaleNormal="98" workbookViewId="0">
      <selection activeCell="E20" sqref="E20"/>
    </sheetView>
  </sheetViews>
  <sheetFormatPr defaultRowHeight="15" x14ac:dyDescent="0.25"/>
  <cols>
    <col min="1" max="1" width="30" customWidth="1"/>
    <col min="2" max="2" width="15.125" customWidth="1"/>
    <col min="3" max="3" width="19" customWidth="1"/>
    <col min="4" max="4" width="14.375" customWidth="1"/>
    <col min="6" max="6" width="11.375" customWidth="1"/>
    <col min="7" max="7" width="14.125" customWidth="1"/>
    <col min="8" max="8" width="13.75" customWidth="1"/>
  </cols>
  <sheetData>
    <row r="1" spans="1:2" x14ac:dyDescent="0.25">
      <c r="A1" s="16" t="s">
        <v>19</v>
      </c>
    </row>
    <row r="3" spans="1:2" x14ac:dyDescent="0.25">
      <c r="A3" t="s">
        <v>20</v>
      </c>
      <c r="B3">
        <v>1000</v>
      </c>
    </row>
    <row r="4" spans="1:2" x14ac:dyDescent="0.25">
      <c r="A4" t="s">
        <v>31</v>
      </c>
      <c r="B4">
        <v>10</v>
      </c>
    </row>
    <row r="5" spans="1:2" x14ac:dyDescent="0.25">
      <c r="A5" t="s">
        <v>30</v>
      </c>
      <c r="B5" s="17">
        <v>0.08</v>
      </c>
    </row>
    <row r="9" spans="1:2" x14ac:dyDescent="0.25">
      <c r="A9" s="16" t="s">
        <v>21</v>
      </c>
    </row>
    <row r="10" spans="1:2" x14ac:dyDescent="0.25">
      <c r="A10" t="s">
        <v>22</v>
      </c>
      <c r="B10" s="18">
        <f>PV(B5,B4,-B3,0,0)</f>
        <v>6710.0813989414464</v>
      </c>
    </row>
    <row r="11" spans="1:2" x14ac:dyDescent="0.25">
      <c r="A11" t="s">
        <v>23</v>
      </c>
      <c r="B11" s="18">
        <f>FV(B5,B4,-B3,0,0)</f>
        <v>14486.562465909847</v>
      </c>
    </row>
    <row r="13" spans="1:2" x14ac:dyDescent="0.25">
      <c r="A13" s="16" t="s">
        <v>24</v>
      </c>
    </row>
    <row r="14" spans="1:2" x14ac:dyDescent="0.25">
      <c r="A14" t="s">
        <v>22</v>
      </c>
      <c r="B14" s="18">
        <f>PV(B5,B4,-B3,0,1)</f>
        <v>7246.8879108567635</v>
      </c>
    </row>
    <row r="15" spans="1:2" x14ac:dyDescent="0.25">
      <c r="A15" t="s">
        <v>23</v>
      </c>
      <c r="B15" s="18">
        <f>FV(B5,B4,-B3,0,1)</f>
        <v>15645.487463182637</v>
      </c>
    </row>
    <row r="18" spans="1:8" s="16" customFormat="1" x14ac:dyDescent="0.25">
      <c r="B18" s="39" t="s">
        <v>25</v>
      </c>
      <c r="C18" s="39"/>
      <c r="D18" s="39"/>
      <c r="F18" s="39" t="s">
        <v>26</v>
      </c>
      <c r="G18" s="39"/>
      <c r="H18" s="39"/>
    </row>
    <row r="19" spans="1:8" s="16" customFormat="1" x14ac:dyDescent="0.25">
      <c r="A19" s="19" t="s">
        <v>32</v>
      </c>
      <c r="B19" s="16" t="s">
        <v>27</v>
      </c>
      <c r="C19" s="16" t="s">
        <v>28</v>
      </c>
      <c r="D19" s="16" t="s">
        <v>29</v>
      </c>
      <c r="F19" s="16" t="s">
        <v>27</v>
      </c>
      <c r="G19" s="16" t="s">
        <v>28</v>
      </c>
      <c r="H19" s="16" t="s">
        <v>29</v>
      </c>
    </row>
    <row r="20" spans="1:8" x14ac:dyDescent="0.25">
      <c r="A20">
        <v>0</v>
      </c>
      <c r="B20" s="20">
        <v>0</v>
      </c>
      <c r="C20" s="20">
        <f t="shared" ref="C20:C50" si="0">B20/(1+rr)^A20</f>
        <v>0</v>
      </c>
      <c r="D20" s="20">
        <f t="shared" ref="D20:D50" si="1">B20*(1+rr)^(n-A20)</f>
        <v>0</v>
      </c>
      <c r="E20" s="20"/>
      <c r="F20" s="20">
        <f t="shared" ref="F20:F50" si="2">IF(A20&gt;=n,0,A)</f>
        <v>1000</v>
      </c>
      <c r="G20" s="20">
        <f t="shared" ref="G20:G50" si="3">F20/(1+rr)^A20</f>
        <v>1000</v>
      </c>
      <c r="H20" s="20">
        <f t="shared" ref="H20:H50" si="4">F20*(1+rr)^(n-A20)</f>
        <v>2158.9249972727876</v>
      </c>
    </row>
    <row r="21" spans="1:8" x14ac:dyDescent="0.25">
      <c r="A21">
        <v>1</v>
      </c>
      <c r="B21" s="20">
        <f t="shared" ref="B21:B50" si="5">IF(A21&gt;n,0,A)</f>
        <v>1000</v>
      </c>
      <c r="C21" s="20">
        <f t="shared" si="0"/>
        <v>925.92592592592587</v>
      </c>
      <c r="D21" s="20">
        <f t="shared" si="1"/>
        <v>1999.004627104433</v>
      </c>
      <c r="E21" s="20"/>
      <c r="F21" s="20">
        <f t="shared" si="2"/>
        <v>1000</v>
      </c>
      <c r="G21" s="20">
        <f t="shared" si="3"/>
        <v>925.92592592592587</v>
      </c>
      <c r="H21" s="20">
        <f t="shared" si="4"/>
        <v>1999.004627104433</v>
      </c>
    </row>
    <row r="22" spans="1:8" x14ac:dyDescent="0.25">
      <c r="A22">
        <v>2</v>
      </c>
      <c r="B22" s="20">
        <f t="shared" si="5"/>
        <v>1000</v>
      </c>
      <c r="C22" s="20">
        <f t="shared" si="0"/>
        <v>857.33882030178324</v>
      </c>
      <c r="D22" s="20">
        <f t="shared" si="1"/>
        <v>1850.9302102818824</v>
      </c>
      <c r="E22" s="20"/>
      <c r="F22" s="20">
        <f t="shared" si="2"/>
        <v>1000</v>
      </c>
      <c r="G22" s="20">
        <f t="shared" si="3"/>
        <v>857.33882030178324</v>
      </c>
      <c r="H22" s="20">
        <f t="shared" si="4"/>
        <v>1850.9302102818824</v>
      </c>
    </row>
    <row r="23" spans="1:8" x14ac:dyDescent="0.25">
      <c r="A23">
        <v>3</v>
      </c>
      <c r="B23" s="20">
        <f t="shared" si="5"/>
        <v>1000</v>
      </c>
      <c r="C23" s="20">
        <f t="shared" si="0"/>
        <v>793.83224102016959</v>
      </c>
      <c r="D23" s="20">
        <f t="shared" si="1"/>
        <v>1713.8242687795207</v>
      </c>
      <c r="E23" s="20"/>
      <c r="F23" s="20">
        <f t="shared" si="2"/>
        <v>1000</v>
      </c>
      <c r="G23" s="20">
        <f t="shared" si="3"/>
        <v>793.83224102016959</v>
      </c>
      <c r="H23" s="20">
        <f t="shared" si="4"/>
        <v>1713.8242687795207</v>
      </c>
    </row>
    <row r="24" spans="1:8" x14ac:dyDescent="0.25">
      <c r="A24">
        <v>4</v>
      </c>
      <c r="B24" s="20">
        <f t="shared" si="5"/>
        <v>1000</v>
      </c>
      <c r="C24" s="20">
        <f t="shared" si="0"/>
        <v>735.02985279645327</v>
      </c>
      <c r="D24" s="20">
        <f t="shared" si="1"/>
        <v>1586.8743229440006</v>
      </c>
      <c r="E24" s="20"/>
      <c r="F24" s="20">
        <f t="shared" si="2"/>
        <v>1000</v>
      </c>
      <c r="G24" s="20">
        <f t="shared" si="3"/>
        <v>735.02985279645327</v>
      </c>
      <c r="H24" s="20">
        <f t="shared" si="4"/>
        <v>1586.8743229440006</v>
      </c>
    </row>
    <row r="25" spans="1:8" x14ac:dyDescent="0.25">
      <c r="A25">
        <v>5</v>
      </c>
      <c r="B25" s="20">
        <f t="shared" si="5"/>
        <v>1000</v>
      </c>
      <c r="C25" s="20">
        <f t="shared" si="0"/>
        <v>680.58319703375298</v>
      </c>
      <c r="D25" s="20">
        <f t="shared" si="1"/>
        <v>1469.3280768000004</v>
      </c>
      <c r="E25" s="20"/>
      <c r="F25" s="20">
        <f t="shared" si="2"/>
        <v>1000</v>
      </c>
      <c r="G25" s="20">
        <f t="shared" si="3"/>
        <v>680.58319703375298</v>
      </c>
      <c r="H25" s="20">
        <f t="shared" si="4"/>
        <v>1469.3280768000004</v>
      </c>
    </row>
    <row r="26" spans="1:8" x14ac:dyDescent="0.25">
      <c r="A26">
        <v>6</v>
      </c>
      <c r="B26" s="20">
        <f t="shared" si="5"/>
        <v>1000</v>
      </c>
      <c r="C26" s="20">
        <f t="shared" si="0"/>
        <v>630.16962688310457</v>
      </c>
      <c r="D26" s="20">
        <f t="shared" si="1"/>
        <v>1360.4889600000004</v>
      </c>
      <c r="E26" s="20"/>
      <c r="F26" s="20">
        <f t="shared" si="2"/>
        <v>1000</v>
      </c>
      <c r="G26" s="20">
        <f t="shared" si="3"/>
        <v>630.16962688310457</v>
      </c>
      <c r="H26" s="20">
        <f t="shared" si="4"/>
        <v>1360.4889600000004</v>
      </c>
    </row>
    <row r="27" spans="1:8" x14ac:dyDescent="0.25">
      <c r="A27">
        <v>7</v>
      </c>
      <c r="B27" s="20">
        <f t="shared" si="5"/>
        <v>1000</v>
      </c>
      <c r="C27" s="20">
        <f t="shared" si="0"/>
        <v>583.4903952621338</v>
      </c>
      <c r="D27" s="20">
        <f t="shared" si="1"/>
        <v>1259.7120000000002</v>
      </c>
      <c r="E27" s="20"/>
      <c r="F27" s="20">
        <f t="shared" si="2"/>
        <v>1000</v>
      </c>
      <c r="G27" s="20">
        <f t="shared" si="3"/>
        <v>583.4903952621338</v>
      </c>
      <c r="H27" s="20">
        <f t="shared" si="4"/>
        <v>1259.7120000000002</v>
      </c>
    </row>
    <row r="28" spans="1:8" x14ac:dyDescent="0.25">
      <c r="A28">
        <v>8</v>
      </c>
      <c r="B28" s="20">
        <f t="shared" si="5"/>
        <v>1000</v>
      </c>
      <c r="C28" s="20">
        <f t="shared" si="0"/>
        <v>540.26888450197578</v>
      </c>
      <c r="D28" s="20">
        <f t="shared" si="1"/>
        <v>1166.4000000000001</v>
      </c>
      <c r="E28" s="20"/>
      <c r="F28" s="20">
        <f t="shared" si="2"/>
        <v>1000</v>
      </c>
      <c r="G28" s="20">
        <f t="shared" si="3"/>
        <v>540.26888450197578</v>
      </c>
      <c r="H28" s="20">
        <f t="shared" si="4"/>
        <v>1166.4000000000001</v>
      </c>
    </row>
    <row r="29" spans="1:8" x14ac:dyDescent="0.25">
      <c r="A29">
        <v>9</v>
      </c>
      <c r="B29" s="20">
        <f t="shared" si="5"/>
        <v>1000</v>
      </c>
      <c r="C29" s="20">
        <f t="shared" si="0"/>
        <v>500.24896713145898</v>
      </c>
      <c r="D29" s="20">
        <f t="shared" si="1"/>
        <v>1080</v>
      </c>
      <c r="E29" s="20"/>
      <c r="F29" s="20">
        <f t="shared" si="2"/>
        <v>1000</v>
      </c>
      <c r="G29" s="20">
        <f t="shared" si="3"/>
        <v>500.24896713145898</v>
      </c>
      <c r="H29" s="20">
        <f t="shared" si="4"/>
        <v>1080</v>
      </c>
    </row>
    <row r="30" spans="1:8" x14ac:dyDescent="0.25">
      <c r="A30">
        <v>10</v>
      </c>
      <c r="B30" s="20">
        <f t="shared" si="5"/>
        <v>1000</v>
      </c>
      <c r="C30" s="20">
        <f t="shared" si="0"/>
        <v>463.19348808468425</v>
      </c>
      <c r="D30" s="20">
        <f t="shared" si="1"/>
        <v>1000</v>
      </c>
      <c r="E30" s="20"/>
      <c r="F30" s="20">
        <f t="shared" si="2"/>
        <v>0</v>
      </c>
      <c r="G30" s="20">
        <f t="shared" si="3"/>
        <v>0</v>
      </c>
      <c r="H30" s="20">
        <f t="shared" si="4"/>
        <v>0</v>
      </c>
    </row>
    <row r="31" spans="1:8" x14ac:dyDescent="0.25">
      <c r="A31">
        <v>11</v>
      </c>
      <c r="B31" s="20">
        <f t="shared" si="5"/>
        <v>0</v>
      </c>
      <c r="C31" s="20">
        <f t="shared" si="0"/>
        <v>0</v>
      </c>
      <c r="D31" s="20">
        <f t="shared" si="1"/>
        <v>0</v>
      </c>
      <c r="E31" s="20"/>
      <c r="F31" s="20">
        <f t="shared" si="2"/>
        <v>0</v>
      </c>
      <c r="G31" s="20">
        <f t="shared" si="3"/>
        <v>0</v>
      </c>
      <c r="H31" s="20">
        <f t="shared" si="4"/>
        <v>0</v>
      </c>
    </row>
    <row r="32" spans="1:8" x14ac:dyDescent="0.25">
      <c r="A32">
        <v>12</v>
      </c>
      <c r="B32" s="20">
        <f t="shared" si="5"/>
        <v>0</v>
      </c>
      <c r="C32" s="20">
        <f t="shared" si="0"/>
        <v>0</v>
      </c>
      <c r="D32" s="20">
        <f t="shared" si="1"/>
        <v>0</v>
      </c>
      <c r="E32" s="20"/>
      <c r="F32" s="20">
        <f t="shared" si="2"/>
        <v>0</v>
      </c>
      <c r="G32" s="20">
        <f t="shared" si="3"/>
        <v>0</v>
      </c>
      <c r="H32" s="20">
        <f t="shared" si="4"/>
        <v>0</v>
      </c>
    </row>
    <row r="33" spans="1:8" x14ac:dyDescent="0.25">
      <c r="A33">
        <v>13</v>
      </c>
      <c r="B33" s="20">
        <f t="shared" si="5"/>
        <v>0</v>
      </c>
      <c r="C33" s="20">
        <f t="shared" si="0"/>
        <v>0</v>
      </c>
      <c r="D33" s="20">
        <f t="shared" si="1"/>
        <v>0</v>
      </c>
      <c r="E33" s="20"/>
      <c r="F33" s="20">
        <f t="shared" si="2"/>
        <v>0</v>
      </c>
      <c r="G33" s="20">
        <f t="shared" si="3"/>
        <v>0</v>
      </c>
      <c r="H33" s="20">
        <f t="shared" si="4"/>
        <v>0</v>
      </c>
    </row>
    <row r="34" spans="1:8" x14ac:dyDescent="0.25">
      <c r="A34">
        <v>14</v>
      </c>
      <c r="B34" s="20">
        <f t="shared" si="5"/>
        <v>0</v>
      </c>
      <c r="C34" s="20">
        <f t="shared" si="0"/>
        <v>0</v>
      </c>
      <c r="D34" s="20">
        <f t="shared" si="1"/>
        <v>0</v>
      </c>
      <c r="E34" s="20"/>
      <c r="F34" s="20">
        <f t="shared" si="2"/>
        <v>0</v>
      </c>
      <c r="G34" s="20">
        <f t="shared" si="3"/>
        <v>0</v>
      </c>
      <c r="H34" s="20">
        <f t="shared" si="4"/>
        <v>0</v>
      </c>
    </row>
    <row r="35" spans="1:8" x14ac:dyDescent="0.25">
      <c r="A35">
        <v>15</v>
      </c>
      <c r="B35" s="20">
        <f t="shared" si="5"/>
        <v>0</v>
      </c>
      <c r="C35" s="20">
        <f t="shared" si="0"/>
        <v>0</v>
      </c>
      <c r="D35" s="20">
        <f t="shared" si="1"/>
        <v>0</v>
      </c>
      <c r="E35" s="20"/>
      <c r="F35" s="20">
        <f t="shared" si="2"/>
        <v>0</v>
      </c>
      <c r="G35" s="20">
        <f t="shared" si="3"/>
        <v>0</v>
      </c>
      <c r="H35" s="20">
        <f t="shared" si="4"/>
        <v>0</v>
      </c>
    </row>
    <row r="36" spans="1:8" x14ac:dyDescent="0.25">
      <c r="A36">
        <v>16</v>
      </c>
      <c r="B36" s="20">
        <f t="shared" si="5"/>
        <v>0</v>
      </c>
      <c r="C36" s="20">
        <f t="shared" si="0"/>
        <v>0</v>
      </c>
      <c r="D36" s="20">
        <f t="shared" si="1"/>
        <v>0</v>
      </c>
      <c r="E36" s="20"/>
      <c r="F36" s="20">
        <f t="shared" si="2"/>
        <v>0</v>
      </c>
      <c r="G36" s="20">
        <f t="shared" si="3"/>
        <v>0</v>
      </c>
      <c r="H36" s="20">
        <f t="shared" si="4"/>
        <v>0</v>
      </c>
    </row>
    <row r="37" spans="1:8" x14ac:dyDescent="0.25">
      <c r="A37">
        <v>17</v>
      </c>
      <c r="B37" s="20">
        <f t="shared" si="5"/>
        <v>0</v>
      </c>
      <c r="C37" s="20">
        <f t="shared" si="0"/>
        <v>0</v>
      </c>
      <c r="D37" s="20">
        <f t="shared" si="1"/>
        <v>0</v>
      </c>
      <c r="E37" s="20"/>
      <c r="F37" s="20">
        <f t="shared" si="2"/>
        <v>0</v>
      </c>
      <c r="G37" s="20">
        <f t="shared" si="3"/>
        <v>0</v>
      </c>
      <c r="H37" s="20">
        <f t="shared" si="4"/>
        <v>0</v>
      </c>
    </row>
    <row r="38" spans="1:8" x14ac:dyDescent="0.25">
      <c r="A38">
        <v>18</v>
      </c>
      <c r="B38" s="20">
        <f t="shared" si="5"/>
        <v>0</v>
      </c>
      <c r="C38" s="20">
        <f t="shared" si="0"/>
        <v>0</v>
      </c>
      <c r="D38" s="20">
        <f t="shared" si="1"/>
        <v>0</v>
      </c>
      <c r="E38" s="20"/>
      <c r="F38" s="20">
        <f t="shared" si="2"/>
        <v>0</v>
      </c>
      <c r="G38" s="20">
        <f t="shared" si="3"/>
        <v>0</v>
      </c>
      <c r="H38" s="20">
        <f t="shared" si="4"/>
        <v>0</v>
      </c>
    </row>
    <row r="39" spans="1:8" x14ac:dyDescent="0.25">
      <c r="A39">
        <v>19</v>
      </c>
      <c r="B39" s="20">
        <f t="shared" si="5"/>
        <v>0</v>
      </c>
      <c r="C39" s="20">
        <f t="shared" si="0"/>
        <v>0</v>
      </c>
      <c r="D39" s="20">
        <f t="shared" si="1"/>
        <v>0</v>
      </c>
      <c r="E39" s="20"/>
      <c r="F39" s="20">
        <f t="shared" si="2"/>
        <v>0</v>
      </c>
      <c r="G39" s="20">
        <f t="shared" si="3"/>
        <v>0</v>
      </c>
      <c r="H39" s="20">
        <f t="shared" si="4"/>
        <v>0</v>
      </c>
    </row>
    <row r="40" spans="1:8" x14ac:dyDescent="0.25">
      <c r="A40">
        <v>20</v>
      </c>
      <c r="B40" s="20">
        <f t="shared" si="5"/>
        <v>0</v>
      </c>
      <c r="C40" s="20">
        <f t="shared" si="0"/>
        <v>0</v>
      </c>
      <c r="D40" s="20">
        <f t="shared" si="1"/>
        <v>0</v>
      </c>
      <c r="E40" s="20"/>
      <c r="F40" s="20">
        <f t="shared" si="2"/>
        <v>0</v>
      </c>
      <c r="G40" s="20">
        <f t="shared" si="3"/>
        <v>0</v>
      </c>
      <c r="H40" s="20">
        <f t="shared" si="4"/>
        <v>0</v>
      </c>
    </row>
    <row r="41" spans="1:8" x14ac:dyDescent="0.25">
      <c r="A41">
        <v>21</v>
      </c>
      <c r="B41" s="20">
        <f t="shared" si="5"/>
        <v>0</v>
      </c>
      <c r="C41" s="20">
        <f t="shared" si="0"/>
        <v>0</v>
      </c>
      <c r="D41" s="20">
        <f t="shared" si="1"/>
        <v>0</v>
      </c>
      <c r="E41" s="20"/>
      <c r="F41" s="20">
        <f t="shared" si="2"/>
        <v>0</v>
      </c>
      <c r="G41" s="20">
        <f t="shared" si="3"/>
        <v>0</v>
      </c>
      <c r="H41" s="20">
        <f t="shared" si="4"/>
        <v>0</v>
      </c>
    </row>
    <row r="42" spans="1:8" x14ac:dyDescent="0.25">
      <c r="A42">
        <v>22</v>
      </c>
      <c r="B42" s="20">
        <f t="shared" si="5"/>
        <v>0</v>
      </c>
      <c r="C42" s="20">
        <f t="shared" si="0"/>
        <v>0</v>
      </c>
      <c r="D42" s="20">
        <f t="shared" si="1"/>
        <v>0</v>
      </c>
      <c r="E42" s="20"/>
      <c r="F42" s="20">
        <f t="shared" si="2"/>
        <v>0</v>
      </c>
      <c r="G42" s="20">
        <f t="shared" si="3"/>
        <v>0</v>
      </c>
      <c r="H42" s="20">
        <f t="shared" si="4"/>
        <v>0</v>
      </c>
    </row>
    <row r="43" spans="1:8" x14ac:dyDescent="0.25">
      <c r="A43">
        <v>23</v>
      </c>
      <c r="B43" s="20">
        <f t="shared" si="5"/>
        <v>0</v>
      </c>
      <c r="C43" s="20">
        <f t="shared" si="0"/>
        <v>0</v>
      </c>
      <c r="D43" s="20">
        <f t="shared" si="1"/>
        <v>0</v>
      </c>
      <c r="E43" s="20"/>
      <c r="F43" s="20">
        <f t="shared" si="2"/>
        <v>0</v>
      </c>
      <c r="G43" s="20">
        <f t="shared" si="3"/>
        <v>0</v>
      </c>
      <c r="H43" s="20">
        <f t="shared" si="4"/>
        <v>0</v>
      </c>
    </row>
    <row r="44" spans="1:8" x14ac:dyDescent="0.25">
      <c r="A44">
        <v>24</v>
      </c>
      <c r="B44" s="20">
        <f t="shared" si="5"/>
        <v>0</v>
      </c>
      <c r="C44" s="20">
        <f t="shared" si="0"/>
        <v>0</v>
      </c>
      <c r="D44" s="20">
        <f t="shared" si="1"/>
        <v>0</v>
      </c>
      <c r="E44" s="20"/>
      <c r="F44" s="20">
        <f t="shared" si="2"/>
        <v>0</v>
      </c>
      <c r="G44" s="20">
        <f t="shared" si="3"/>
        <v>0</v>
      </c>
      <c r="H44" s="20">
        <f t="shared" si="4"/>
        <v>0</v>
      </c>
    </row>
    <row r="45" spans="1:8" x14ac:dyDescent="0.25">
      <c r="A45">
        <v>25</v>
      </c>
      <c r="B45" s="20">
        <f t="shared" si="5"/>
        <v>0</v>
      </c>
      <c r="C45" s="20">
        <f t="shared" si="0"/>
        <v>0</v>
      </c>
      <c r="D45" s="20">
        <f t="shared" si="1"/>
        <v>0</v>
      </c>
      <c r="E45" s="20"/>
      <c r="F45" s="20">
        <f t="shared" si="2"/>
        <v>0</v>
      </c>
      <c r="G45" s="20">
        <f t="shared" si="3"/>
        <v>0</v>
      </c>
      <c r="H45" s="20">
        <f t="shared" si="4"/>
        <v>0</v>
      </c>
    </row>
    <row r="46" spans="1:8" x14ac:dyDescent="0.25">
      <c r="A46">
        <v>26</v>
      </c>
      <c r="B46" s="20">
        <f t="shared" si="5"/>
        <v>0</v>
      </c>
      <c r="C46" s="20">
        <f t="shared" si="0"/>
        <v>0</v>
      </c>
      <c r="D46" s="20">
        <f t="shared" si="1"/>
        <v>0</v>
      </c>
      <c r="E46" s="20"/>
      <c r="F46" s="20">
        <f t="shared" si="2"/>
        <v>0</v>
      </c>
      <c r="G46" s="20">
        <f t="shared" si="3"/>
        <v>0</v>
      </c>
      <c r="H46" s="20">
        <f t="shared" si="4"/>
        <v>0</v>
      </c>
    </row>
    <row r="47" spans="1:8" x14ac:dyDescent="0.25">
      <c r="A47">
        <v>27</v>
      </c>
      <c r="B47" s="20">
        <f t="shared" si="5"/>
        <v>0</v>
      </c>
      <c r="C47" s="20">
        <f t="shared" si="0"/>
        <v>0</v>
      </c>
      <c r="D47" s="20">
        <f t="shared" si="1"/>
        <v>0</v>
      </c>
      <c r="E47" s="20"/>
      <c r="F47" s="20">
        <f t="shared" si="2"/>
        <v>0</v>
      </c>
      <c r="G47" s="20">
        <f t="shared" si="3"/>
        <v>0</v>
      </c>
      <c r="H47" s="20">
        <f t="shared" si="4"/>
        <v>0</v>
      </c>
    </row>
    <row r="48" spans="1:8" x14ac:dyDescent="0.25">
      <c r="A48">
        <v>28</v>
      </c>
      <c r="B48" s="20">
        <f t="shared" si="5"/>
        <v>0</v>
      </c>
      <c r="C48" s="20">
        <f t="shared" si="0"/>
        <v>0</v>
      </c>
      <c r="D48" s="20">
        <f t="shared" si="1"/>
        <v>0</v>
      </c>
      <c r="E48" s="20"/>
      <c r="F48" s="20">
        <f t="shared" si="2"/>
        <v>0</v>
      </c>
      <c r="G48" s="20">
        <f t="shared" si="3"/>
        <v>0</v>
      </c>
      <c r="H48" s="20">
        <f t="shared" si="4"/>
        <v>0</v>
      </c>
    </row>
    <row r="49" spans="1:8" x14ac:dyDescent="0.25">
      <c r="A49">
        <v>29</v>
      </c>
      <c r="B49" s="20">
        <f t="shared" si="5"/>
        <v>0</v>
      </c>
      <c r="C49" s="20">
        <f t="shared" si="0"/>
        <v>0</v>
      </c>
      <c r="D49" s="20">
        <f t="shared" si="1"/>
        <v>0</v>
      </c>
      <c r="E49" s="20"/>
      <c r="F49" s="20">
        <f t="shared" si="2"/>
        <v>0</v>
      </c>
      <c r="G49" s="20">
        <f t="shared" si="3"/>
        <v>0</v>
      </c>
      <c r="H49" s="20">
        <f t="shared" si="4"/>
        <v>0</v>
      </c>
    </row>
    <row r="50" spans="1:8" x14ac:dyDescent="0.25">
      <c r="A50">
        <v>30</v>
      </c>
      <c r="B50" s="20">
        <f t="shared" si="5"/>
        <v>0</v>
      </c>
      <c r="C50" s="20">
        <f t="shared" si="0"/>
        <v>0</v>
      </c>
      <c r="D50" s="20">
        <f t="shared" si="1"/>
        <v>0</v>
      </c>
      <c r="E50" s="20"/>
      <c r="F50" s="20">
        <f t="shared" si="2"/>
        <v>0</v>
      </c>
      <c r="G50" s="20">
        <f t="shared" si="3"/>
        <v>0</v>
      </c>
      <c r="H50" s="20">
        <f t="shared" si="4"/>
        <v>0</v>
      </c>
    </row>
  </sheetData>
  <mergeCells count="2">
    <mergeCell ref="B18:D18"/>
    <mergeCell ref="F18:H18"/>
  </mergeCells>
  <phoneticPr fontId="1" type="noConversion"/>
  <dataValidations disablePrompts="1" count="2">
    <dataValidation type="whole" operator="lessThanOrEqual" allowBlank="1" showInputMessage="1" showErrorMessage="1" sqref="B4">
      <formula1>30</formula1>
    </dataValidation>
    <dataValidation type="decimal" operator="lessThanOrEqual" showInputMessage="1" showErrorMessage="1" sqref="B5">
      <formula1>0.2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7"/>
  <sheetViews>
    <sheetView workbookViewId="0">
      <selection activeCell="C4" sqref="C4"/>
    </sheetView>
  </sheetViews>
  <sheetFormatPr defaultRowHeight="15" x14ac:dyDescent="0.25"/>
  <cols>
    <col min="1" max="1" width="33.5" customWidth="1"/>
    <col min="2" max="2" width="13" customWidth="1"/>
    <col min="3" max="3" width="14.125" customWidth="1"/>
    <col min="4" max="4" width="11.5" customWidth="1"/>
    <col min="5" max="5" width="13.375" customWidth="1"/>
    <col min="6" max="6" width="12.75" bestFit="1" customWidth="1"/>
    <col min="8" max="8" width="13.25" customWidth="1"/>
  </cols>
  <sheetData>
    <row r="1" spans="1:8" x14ac:dyDescent="0.25">
      <c r="A1" s="16" t="s">
        <v>50</v>
      </c>
    </row>
    <row r="3" spans="1:8" x14ac:dyDescent="0.25">
      <c r="A3" s="16" t="s">
        <v>33</v>
      </c>
    </row>
    <row r="4" spans="1:8" x14ac:dyDescent="0.25">
      <c r="A4" t="s">
        <v>34</v>
      </c>
      <c r="B4" s="23">
        <v>100000</v>
      </c>
    </row>
    <row r="6" spans="1:8" x14ac:dyDescent="0.25">
      <c r="B6" s="16" t="s">
        <v>38</v>
      </c>
      <c r="C6" s="16" t="s">
        <v>39</v>
      </c>
    </row>
    <row r="7" spans="1:8" x14ac:dyDescent="0.25">
      <c r="A7" t="s">
        <v>35</v>
      </c>
      <c r="B7" s="23">
        <v>5</v>
      </c>
      <c r="C7" s="23">
        <v>0.06</v>
      </c>
      <c r="E7" s="17"/>
    </row>
    <row r="8" spans="1:8" x14ac:dyDescent="0.25">
      <c r="A8" t="s">
        <v>36</v>
      </c>
      <c r="B8" s="23">
        <v>3</v>
      </c>
      <c r="C8" s="23">
        <v>0.08</v>
      </c>
      <c r="E8" s="17"/>
    </row>
    <row r="9" spans="1:8" x14ac:dyDescent="0.25">
      <c r="A9" t="s">
        <v>37</v>
      </c>
      <c r="B9" s="23">
        <v>7</v>
      </c>
      <c r="C9" s="23">
        <v>0.09</v>
      </c>
      <c r="E9" s="17"/>
    </row>
    <row r="11" spans="1:8" x14ac:dyDescent="0.25">
      <c r="A11" t="s">
        <v>40</v>
      </c>
      <c r="B11">
        <f>SUM(B7:B9)</f>
        <v>15</v>
      </c>
    </row>
    <row r="12" spans="1:8" x14ac:dyDescent="0.25">
      <c r="A12" t="s">
        <v>41</v>
      </c>
      <c r="B12">
        <v>10960.518140287302</v>
      </c>
    </row>
    <row r="15" spans="1:8" s="21" customFormat="1" ht="30" x14ac:dyDescent="0.25">
      <c r="A15" s="21" t="s">
        <v>42</v>
      </c>
      <c r="B15" s="21" t="s">
        <v>43</v>
      </c>
      <c r="C15" s="21" t="s">
        <v>44</v>
      </c>
      <c r="D15" s="21" t="s">
        <v>45</v>
      </c>
      <c r="E15" s="21" t="s">
        <v>46</v>
      </c>
      <c r="F15" s="21" t="s">
        <v>47</v>
      </c>
      <c r="G15" s="21" t="s">
        <v>48</v>
      </c>
      <c r="H15" s="21" t="s">
        <v>49</v>
      </c>
    </row>
    <row r="18" spans="1:8" x14ac:dyDescent="0.25">
      <c r="A18">
        <f>IF($H18&gt;$B$11,0,$H18)</f>
        <v>1</v>
      </c>
      <c r="B18" s="22">
        <f>P</f>
        <v>100000</v>
      </c>
      <c r="C18" s="22">
        <f>IF(H18&lt;=$B$11,$B$12,0)</f>
        <v>10960.518140287302</v>
      </c>
      <c r="D18" s="22">
        <f>IF(H18&lt;=$B$11,B18*G18,0)</f>
        <v>6000</v>
      </c>
      <c r="E18" s="22">
        <f>C18-D18</f>
        <v>4960.5181402873022</v>
      </c>
      <c r="F18" s="22">
        <f>B18-E18</f>
        <v>95039.481859712701</v>
      </c>
      <c r="G18">
        <f t="shared" ref="G18:G47" si="0">IF(H18&lt;=ln_1,rr_1,IF(H18&lt;=(ln_1+ln_2),rr_2,IF(H18&lt;=$B$11,rr_3,0)))</f>
        <v>0.06</v>
      </c>
      <c r="H18">
        <v>1</v>
      </c>
    </row>
    <row r="19" spans="1:8" x14ac:dyDescent="0.25">
      <c r="A19">
        <f t="shared" ref="A19:A47" si="1">IF($H19&gt;$B$11,0,$H19)</f>
        <v>2</v>
      </c>
      <c r="B19" s="22">
        <f>F18</f>
        <v>95039.481859712701</v>
      </c>
      <c r="C19" s="22">
        <f t="shared" ref="C19:C47" si="2">IF(H19&lt;=$B$11,$B$12,0)</f>
        <v>10960.518140287302</v>
      </c>
      <c r="D19" s="22">
        <f t="shared" ref="D19:D47" si="3">IF(H19&lt;=$B$11,B19*G19,0)</f>
        <v>5702.3689115827619</v>
      </c>
      <c r="E19" s="22">
        <f t="shared" ref="E19:E47" si="4">C19-D19</f>
        <v>5258.1492287045403</v>
      </c>
      <c r="F19" s="22">
        <f t="shared" ref="F19:F47" si="5">B19-E19</f>
        <v>89781.332631008161</v>
      </c>
      <c r="G19">
        <f t="shared" si="0"/>
        <v>0.06</v>
      </c>
      <c r="H19">
        <f>H18+1</f>
        <v>2</v>
      </c>
    </row>
    <row r="20" spans="1:8" x14ac:dyDescent="0.25">
      <c r="A20">
        <f t="shared" si="1"/>
        <v>3</v>
      </c>
      <c r="B20" s="22">
        <f t="shared" ref="B20:B47" si="6">F19</f>
        <v>89781.332631008161</v>
      </c>
      <c r="C20" s="22">
        <f t="shared" si="2"/>
        <v>10960.518140287302</v>
      </c>
      <c r="D20" s="22">
        <f t="shared" si="3"/>
        <v>5386.8799578604894</v>
      </c>
      <c r="E20" s="22">
        <f t="shared" si="4"/>
        <v>5573.6381824268128</v>
      </c>
      <c r="F20" s="22">
        <f t="shared" si="5"/>
        <v>84207.694448581344</v>
      </c>
      <c r="G20">
        <f t="shared" si="0"/>
        <v>0.06</v>
      </c>
      <c r="H20">
        <f t="shared" ref="H20:H47" si="7">H19+1</f>
        <v>3</v>
      </c>
    </row>
    <row r="21" spans="1:8" x14ac:dyDescent="0.25">
      <c r="A21">
        <f t="shared" si="1"/>
        <v>4</v>
      </c>
      <c r="B21" s="22">
        <f t="shared" si="6"/>
        <v>84207.694448581344</v>
      </c>
      <c r="C21" s="22">
        <f t="shared" si="2"/>
        <v>10960.518140287302</v>
      </c>
      <c r="D21" s="22">
        <f t="shared" si="3"/>
        <v>5052.4616669148809</v>
      </c>
      <c r="E21" s="22">
        <f t="shared" si="4"/>
        <v>5908.0564733724214</v>
      </c>
      <c r="F21" s="22">
        <f t="shared" si="5"/>
        <v>78299.637975208927</v>
      </c>
      <c r="G21">
        <f t="shared" si="0"/>
        <v>0.06</v>
      </c>
      <c r="H21">
        <f t="shared" si="7"/>
        <v>4</v>
      </c>
    </row>
    <row r="22" spans="1:8" x14ac:dyDescent="0.25">
      <c r="A22">
        <f t="shared" si="1"/>
        <v>5</v>
      </c>
      <c r="B22" s="22">
        <f t="shared" si="6"/>
        <v>78299.637975208927</v>
      </c>
      <c r="C22" s="22">
        <f t="shared" si="2"/>
        <v>10960.518140287302</v>
      </c>
      <c r="D22" s="22">
        <f t="shared" si="3"/>
        <v>4697.9782785125353</v>
      </c>
      <c r="E22" s="22">
        <f t="shared" si="4"/>
        <v>6262.5398617747669</v>
      </c>
      <c r="F22" s="22">
        <f t="shared" si="5"/>
        <v>72037.098113434156</v>
      </c>
      <c r="G22">
        <f t="shared" si="0"/>
        <v>0.06</v>
      </c>
      <c r="H22">
        <f t="shared" si="7"/>
        <v>5</v>
      </c>
    </row>
    <row r="23" spans="1:8" x14ac:dyDescent="0.25">
      <c r="A23">
        <f t="shared" si="1"/>
        <v>6</v>
      </c>
      <c r="B23" s="22">
        <f t="shared" si="6"/>
        <v>72037.098113434156</v>
      </c>
      <c r="C23" s="22">
        <f t="shared" si="2"/>
        <v>10960.518140287302</v>
      </c>
      <c r="D23" s="22">
        <f t="shared" si="3"/>
        <v>5762.9678490747328</v>
      </c>
      <c r="E23" s="22">
        <f t="shared" si="4"/>
        <v>5197.5502912125694</v>
      </c>
      <c r="F23" s="22">
        <f t="shared" si="5"/>
        <v>66839.54782222159</v>
      </c>
      <c r="G23">
        <f t="shared" si="0"/>
        <v>0.08</v>
      </c>
      <c r="H23">
        <f t="shared" si="7"/>
        <v>6</v>
      </c>
    </row>
    <row r="24" spans="1:8" x14ac:dyDescent="0.25">
      <c r="A24">
        <f t="shared" si="1"/>
        <v>7</v>
      </c>
      <c r="B24" s="22">
        <f t="shared" si="6"/>
        <v>66839.54782222159</v>
      </c>
      <c r="C24" s="22">
        <f t="shared" si="2"/>
        <v>10960.518140287302</v>
      </c>
      <c r="D24" s="22">
        <f t="shared" si="3"/>
        <v>5347.1638257777277</v>
      </c>
      <c r="E24" s="22">
        <f t="shared" si="4"/>
        <v>5613.3543145095746</v>
      </c>
      <c r="F24" s="22">
        <f t="shared" si="5"/>
        <v>61226.193507712014</v>
      </c>
      <c r="G24">
        <f t="shared" si="0"/>
        <v>0.08</v>
      </c>
      <c r="H24">
        <f t="shared" si="7"/>
        <v>7</v>
      </c>
    </row>
    <row r="25" spans="1:8" x14ac:dyDescent="0.25">
      <c r="A25">
        <f t="shared" si="1"/>
        <v>8</v>
      </c>
      <c r="B25" s="22">
        <f t="shared" si="6"/>
        <v>61226.193507712014</v>
      </c>
      <c r="C25" s="22">
        <f t="shared" si="2"/>
        <v>10960.518140287302</v>
      </c>
      <c r="D25" s="22">
        <f t="shared" si="3"/>
        <v>4898.0954806169611</v>
      </c>
      <c r="E25" s="22">
        <f t="shared" si="4"/>
        <v>6062.4226596703411</v>
      </c>
      <c r="F25" s="22">
        <f t="shared" si="5"/>
        <v>55163.770848041677</v>
      </c>
      <c r="G25">
        <f t="shared" si="0"/>
        <v>0.08</v>
      </c>
      <c r="H25">
        <f t="shared" si="7"/>
        <v>8</v>
      </c>
    </row>
    <row r="26" spans="1:8" x14ac:dyDescent="0.25">
      <c r="A26">
        <f t="shared" si="1"/>
        <v>9</v>
      </c>
      <c r="B26" s="22">
        <f t="shared" si="6"/>
        <v>55163.770848041677</v>
      </c>
      <c r="C26" s="22">
        <f t="shared" si="2"/>
        <v>10960.518140287302</v>
      </c>
      <c r="D26" s="22">
        <f t="shared" si="3"/>
        <v>4964.7393763237505</v>
      </c>
      <c r="E26" s="22">
        <f t="shared" si="4"/>
        <v>5995.7787639635517</v>
      </c>
      <c r="F26" s="22">
        <f t="shared" si="5"/>
        <v>49167.992084078127</v>
      </c>
      <c r="G26">
        <f t="shared" si="0"/>
        <v>0.09</v>
      </c>
      <c r="H26">
        <f t="shared" si="7"/>
        <v>9</v>
      </c>
    </row>
    <row r="27" spans="1:8" x14ac:dyDescent="0.25">
      <c r="A27">
        <f t="shared" si="1"/>
        <v>10</v>
      </c>
      <c r="B27" s="22">
        <f t="shared" si="6"/>
        <v>49167.992084078127</v>
      </c>
      <c r="C27" s="22">
        <f t="shared" si="2"/>
        <v>10960.518140287302</v>
      </c>
      <c r="D27" s="22">
        <f t="shared" si="3"/>
        <v>4425.1192875670313</v>
      </c>
      <c r="E27" s="22">
        <f t="shared" si="4"/>
        <v>6535.398852720271</v>
      </c>
      <c r="F27" s="22">
        <f t="shared" si="5"/>
        <v>42632.593231357852</v>
      </c>
      <c r="G27">
        <f t="shared" si="0"/>
        <v>0.09</v>
      </c>
      <c r="H27">
        <f t="shared" si="7"/>
        <v>10</v>
      </c>
    </row>
    <row r="28" spans="1:8" x14ac:dyDescent="0.25">
      <c r="A28">
        <f t="shared" si="1"/>
        <v>11</v>
      </c>
      <c r="B28" s="22">
        <f t="shared" si="6"/>
        <v>42632.593231357852</v>
      </c>
      <c r="C28" s="22">
        <f t="shared" si="2"/>
        <v>10960.518140287302</v>
      </c>
      <c r="D28" s="22">
        <f t="shared" si="3"/>
        <v>3836.9333908222065</v>
      </c>
      <c r="E28" s="22">
        <f t="shared" si="4"/>
        <v>7123.5847494650952</v>
      </c>
      <c r="F28" s="22">
        <f t="shared" si="5"/>
        <v>35509.008481892757</v>
      </c>
      <c r="G28">
        <f t="shared" si="0"/>
        <v>0.09</v>
      </c>
      <c r="H28">
        <f t="shared" si="7"/>
        <v>11</v>
      </c>
    </row>
    <row r="29" spans="1:8" x14ac:dyDescent="0.25">
      <c r="A29">
        <f t="shared" si="1"/>
        <v>12</v>
      </c>
      <c r="B29" s="22">
        <f t="shared" si="6"/>
        <v>35509.008481892757</v>
      </c>
      <c r="C29" s="22">
        <f t="shared" si="2"/>
        <v>10960.518140287302</v>
      </c>
      <c r="D29" s="22">
        <f t="shared" si="3"/>
        <v>3195.810763370348</v>
      </c>
      <c r="E29" s="22">
        <f t="shared" si="4"/>
        <v>7764.7073769169547</v>
      </c>
      <c r="F29" s="22">
        <f t="shared" si="5"/>
        <v>27744.301104975802</v>
      </c>
      <c r="G29">
        <f t="shared" si="0"/>
        <v>0.09</v>
      </c>
      <c r="H29">
        <f t="shared" si="7"/>
        <v>12</v>
      </c>
    </row>
    <row r="30" spans="1:8" x14ac:dyDescent="0.25">
      <c r="A30">
        <f t="shared" si="1"/>
        <v>13</v>
      </c>
      <c r="B30" s="22">
        <f t="shared" si="6"/>
        <v>27744.301104975802</v>
      </c>
      <c r="C30" s="22">
        <f t="shared" si="2"/>
        <v>10960.518140287302</v>
      </c>
      <c r="D30" s="22">
        <f t="shared" si="3"/>
        <v>2496.9870994478219</v>
      </c>
      <c r="E30" s="22">
        <f t="shared" si="4"/>
        <v>8463.5310408394798</v>
      </c>
      <c r="F30" s="22">
        <f t="shared" si="5"/>
        <v>19280.770064136323</v>
      </c>
      <c r="G30">
        <f t="shared" si="0"/>
        <v>0.09</v>
      </c>
      <c r="H30">
        <f t="shared" si="7"/>
        <v>13</v>
      </c>
    </row>
    <row r="31" spans="1:8" x14ac:dyDescent="0.25">
      <c r="A31">
        <f t="shared" si="1"/>
        <v>14</v>
      </c>
      <c r="B31" s="22">
        <f t="shared" si="6"/>
        <v>19280.770064136323</v>
      </c>
      <c r="C31" s="22">
        <f t="shared" si="2"/>
        <v>10960.518140287302</v>
      </c>
      <c r="D31" s="22">
        <f t="shared" si="3"/>
        <v>1735.269305772269</v>
      </c>
      <c r="E31" s="22">
        <f t="shared" si="4"/>
        <v>9225.2488345150341</v>
      </c>
      <c r="F31" s="22">
        <f t="shared" si="5"/>
        <v>10055.521229621289</v>
      </c>
      <c r="G31">
        <f t="shared" si="0"/>
        <v>0.09</v>
      </c>
      <c r="H31">
        <f t="shared" si="7"/>
        <v>14</v>
      </c>
    </row>
    <row r="32" spans="1:8" x14ac:dyDescent="0.25">
      <c r="A32">
        <f t="shared" si="1"/>
        <v>15</v>
      </c>
      <c r="B32" s="22">
        <f t="shared" si="6"/>
        <v>10055.521229621289</v>
      </c>
      <c r="C32" s="22">
        <f t="shared" si="2"/>
        <v>10960.518140287302</v>
      </c>
      <c r="D32" s="22">
        <f t="shared" si="3"/>
        <v>904.99691066591595</v>
      </c>
      <c r="E32" s="22">
        <f t="shared" si="4"/>
        <v>10055.521229621387</v>
      </c>
      <c r="F32" s="22">
        <f t="shared" si="5"/>
        <v>-9.822542779147625E-11</v>
      </c>
      <c r="G32">
        <f t="shared" si="0"/>
        <v>0.09</v>
      </c>
      <c r="H32">
        <f t="shared" si="7"/>
        <v>15</v>
      </c>
    </row>
    <row r="33" spans="1:8" x14ac:dyDescent="0.25">
      <c r="A33">
        <f t="shared" si="1"/>
        <v>0</v>
      </c>
      <c r="B33" s="22">
        <f t="shared" si="6"/>
        <v>-9.822542779147625E-11</v>
      </c>
      <c r="C33" s="22">
        <f t="shared" si="2"/>
        <v>0</v>
      </c>
      <c r="D33" s="22">
        <f t="shared" si="3"/>
        <v>0</v>
      </c>
      <c r="E33" s="22">
        <f t="shared" si="4"/>
        <v>0</v>
      </c>
      <c r="F33" s="22">
        <f t="shared" si="5"/>
        <v>-9.822542779147625E-11</v>
      </c>
      <c r="G33">
        <f t="shared" si="0"/>
        <v>0</v>
      </c>
      <c r="H33">
        <f t="shared" si="7"/>
        <v>16</v>
      </c>
    </row>
    <row r="34" spans="1:8" x14ac:dyDescent="0.25">
      <c r="A34">
        <f t="shared" si="1"/>
        <v>0</v>
      </c>
      <c r="B34" s="22">
        <f t="shared" si="6"/>
        <v>-9.822542779147625E-11</v>
      </c>
      <c r="C34" s="22">
        <f t="shared" si="2"/>
        <v>0</v>
      </c>
      <c r="D34" s="22">
        <f t="shared" si="3"/>
        <v>0</v>
      </c>
      <c r="E34" s="22">
        <f t="shared" si="4"/>
        <v>0</v>
      </c>
      <c r="F34" s="22">
        <f t="shared" si="5"/>
        <v>-9.822542779147625E-11</v>
      </c>
      <c r="G34">
        <f t="shared" si="0"/>
        <v>0</v>
      </c>
      <c r="H34">
        <f t="shared" si="7"/>
        <v>17</v>
      </c>
    </row>
    <row r="35" spans="1:8" x14ac:dyDescent="0.25">
      <c r="A35">
        <f t="shared" si="1"/>
        <v>0</v>
      </c>
      <c r="B35" s="22">
        <f t="shared" si="6"/>
        <v>-9.822542779147625E-11</v>
      </c>
      <c r="C35" s="22">
        <f t="shared" si="2"/>
        <v>0</v>
      </c>
      <c r="D35" s="22">
        <f t="shared" si="3"/>
        <v>0</v>
      </c>
      <c r="E35" s="22">
        <f t="shared" si="4"/>
        <v>0</v>
      </c>
      <c r="F35" s="22">
        <f t="shared" si="5"/>
        <v>-9.822542779147625E-11</v>
      </c>
      <c r="G35">
        <f t="shared" si="0"/>
        <v>0</v>
      </c>
      <c r="H35">
        <f t="shared" si="7"/>
        <v>18</v>
      </c>
    </row>
    <row r="36" spans="1:8" x14ac:dyDescent="0.25">
      <c r="A36">
        <f t="shared" si="1"/>
        <v>0</v>
      </c>
      <c r="B36" s="22">
        <f t="shared" si="6"/>
        <v>-9.822542779147625E-11</v>
      </c>
      <c r="C36" s="22">
        <f t="shared" si="2"/>
        <v>0</v>
      </c>
      <c r="D36" s="22">
        <f t="shared" si="3"/>
        <v>0</v>
      </c>
      <c r="E36" s="22">
        <f t="shared" si="4"/>
        <v>0</v>
      </c>
      <c r="F36" s="22">
        <f t="shared" si="5"/>
        <v>-9.822542779147625E-11</v>
      </c>
      <c r="G36">
        <f t="shared" si="0"/>
        <v>0</v>
      </c>
      <c r="H36">
        <f t="shared" si="7"/>
        <v>19</v>
      </c>
    </row>
    <row r="37" spans="1:8" x14ac:dyDescent="0.25">
      <c r="A37">
        <f t="shared" si="1"/>
        <v>0</v>
      </c>
      <c r="B37" s="22">
        <f t="shared" si="6"/>
        <v>-9.822542779147625E-11</v>
      </c>
      <c r="C37" s="22">
        <f t="shared" si="2"/>
        <v>0</v>
      </c>
      <c r="D37" s="22">
        <f t="shared" si="3"/>
        <v>0</v>
      </c>
      <c r="E37" s="22">
        <f t="shared" si="4"/>
        <v>0</v>
      </c>
      <c r="F37" s="22">
        <f t="shared" si="5"/>
        <v>-9.822542779147625E-11</v>
      </c>
      <c r="G37">
        <f t="shared" si="0"/>
        <v>0</v>
      </c>
      <c r="H37">
        <f t="shared" si="7"/>
        <v>20</v>
      </c>
    </row>
    <row r="38" spans="1:8" x14ac:dyDescent="0.25">
      <c r="A38">
        <f t="shared" si="1"/>
        <v>0</v>
      </c>
      <c r="B38" s="22">
        <f t="shared" si="6"/>
        <v>-9.822542779147625E-11</v>
      </c>
      <c r="C38" s="22">
        <f t="shared" si="2"/>
        <v>0</v>
      </c>
      <c r="D38" s="22">
        <f t="shared" si="3"/>
        <v>0</v>
      </c>
      <c r="E38" s="22">
        <f t="shared" si="4"/>
        <v>0</v>
      </c>
      <c r="F38" s="22">
        <f t="shared" si="5"/>
        <v>-9.822542779147625E-11</v>
      </c>
      <c r="G38">
        <f t="shared" si="0"/>
        <v>0</v>
      </c>
      <c r="H38">
        <f t="shared" si="7"/>
        <v>21</v>
      </c>
    </row>
    <row r="39" spans="1:8" x14ac:dyDescent="0.25">
      <c r="A39">
        <f t="shared" si="1"/>
        <v>0</v>
      </c>
      <c r="B39" s="22">
        <f t="shared" si="6"/>
        <v>-9.822542779147625E-11</v>
      </c>
      <c r="C39" s="22">
        <f t="shared" si="2"/>
        <v>0</v>
      </c>
      <c r="D39" s="22">
        <f t="shared" si="3"/>
        <v>0</v>
      </c>
      <c r="E39" s="22">
        <f t="shared" si="4"/>
        <v>0</v>
      </c>
      <c r="F39" s="22">
        <f t="shared" si="5"/>
        <v>-9.822542779147625E-11</v>
      </c>
      <c r="G39">
        <f t="shared" si="0"/>
        <v>0</v>
      </c>
      <c r="H39">
        <f t="shared" si="7"/>
        <v>22</v>
      </c>
    </row>
    <row r="40" spans="1:8" x14ac:dyDescent="0.25">
      <c r="A40">
        <f t="shared" si="1"/>
        <v>0</v>
      </c>
      <c r="B40" s="22">
        <f t="shared" si="6"/>
        <v>-9.822542779147625E-11</v>
      </c>
      <c r="C40" s="22">
        <f t="shared" si="2"/>
        <v>0</v>
      </c>
      <c r="D40" s="22">
        <f t="shared" si="3"/>
        <v>0</v>
      </c>
      <c r="E40" s="22">
        <f t="shared" si="4"/>
        <v>0</v>
      </c>
      <c r="F40" s="22">
        <f t="shared" si="5"/>
        <v>-9.822542779147625E-11</v>
      </c>
      <c r="G40">
        <f t="shared" si="0"/>
        <v>0</v>
      </c>
      <c r="H40">
        <f t="shared" si="7"/>
        <v>23</v>
      </c>
    </row>
    <row r="41" spans="1:8" x14ac:dyDescent="0.25">
      <c r="A41">
        <f>IF($H41&gt;$B$11,0,$H41)</f>
        <v>0</v>
      </c>
      <c r="B41" s="22">
        <f t="shared" si="6"/>
        <v>-9.822542779147625E-11</v>
      </c>
      <c r="C41" s="22">
        <f t="shared" si="2"/>
        <v>0</v>
      </c>
      <c r="D41" s="22">
        <f t="shared" si="3"/>
        <v>0</v>
      </c>
      <c r="E41" s="22">
        <f t="shared" si="4"/>
        <v>0</v>
      </c>
      <c r="F41" s="22">
        <f t="shared" si="5"/>
        <v>-9.822542779147625E-11</v>
      </c>
      <c r="G41">
        <f t="shared" si="0"/>
        <v>0</v>
      </c>
      <c r="H41">
        <f>H40+1</f>
        <v>24</v>
      </c>
    </row>
    <row r="42" spans="1:8" x14ac:dyDescent="0.25">
      <c r="A42">
        <f t="shared" si="1"/>
        <v>0</v>
      </c>
      <c r="B42" s="22">
        <f t="shared" si="6"/>
        <v>-9.822542779147625E-11</v>
      </c>
      <c r="C42" s="22">
        <f t="shared" si="2"/>
        <v>0</v>
      </c>
      <c r="D42" s="22">
        <f t="shared" si="3"/>
        <v>0</v>
      </c>
      <c r="E42" s="22">
        <f t="shared" si="4"/>
        <v>0</v>
      </c>
      <c r="F42" s="22">
        <f t="shared" si="5"/>
        <v>-9.822542779147625E-11</v>
      </c>
      <c r="G42">
        <f t="shared" si="0"/>
        <v>0</v>
      </c>
      <c r="H42">
        <f t="shared" si="7"/>
        <v>25</v>
      </c>
    </row>
    <row r="43" spans="1:8" x14ac:dyDescent="0.25">
      <c r="A43">
        <f t="shared" si="1"/>
        <v>0</v>
      </c>
      <c r="B43" s="22">
        <f t="shared" si="6"/>
        <v>-9.822542779147625E-11</v>
      </c>
      <c r="C43" s="22">
        <f t="shared" si="2"/>
        <v>0</v>
      </c>
      <c r="D43" s="22">
        <f t="shared" si="3"/>
        <v>0</v>
      </c>
      <c r="E43" s="22">
        <f t="shared" si="4"/>
        <v>0</v>
      </c>
      <c r="F43" s="22">
        <f t="shared" si="5"/>
        <v>-9.822542779147625E-11</v>
      </c>
      <c r="G43">
        <f t="shared" si="0"/>
        <v>0</v>
      </c>
      <c r="H43">
        <f t="shared" si="7"/>
        <v>26</v>
      </c>
    </row>
    <row r="44" spans="1:8" x14ac:dyDescent="0.25">
      <c r="A44">
        <f t="shared" si="1"/>
        <v>0</v>
      </c>
      <c r="B44" s="22">
        <f t="shared" si="6"/>
        <v>-9.822542779147625E-11</v>
      </c>
      <c r="C44" s="22">
        <f t="shared" si="2"/>
        <v>0</v>
      </c>
      <c r="D44" s="22">
        <f t="shared" si="3"/>
        <v>0</v>
      </c>
      <c r="E44" s="22">
        <f t="shared" si="4"/>
        <v>0</v>
      </c>
      <c r="F44" s="22">
        <f t="shared" si="5"/>
        <v>-9.822542779147625E-11</v>
      </c>
      <c r="G44">
        <f t="shared" si="0"/>
        <v>0</v>
      </c>
      <c r="H44">
        <f t="shared" si="7"/>
        <v>27</v>
      </c>
    </row>
    <row r="45" spans="1:8" x14ac:dyDescent="0.25">
      <c r="A45">
        <f t="shared" si="1"/>
        <v>0</v>
      </c>
      <c r="B45" s="22">
        <f t="shared" si="6"/>
        <v>-9.822542779147625E-11</v>
      </c>
      <c r="C45" s="22">
        <f t="shared" si="2"/>
        <v>0</v>
      </c>
      <c r="D45" s="22">
        <f t="shared" si="3"/>
        <v>0</v>
      </c>
      <c r="E45" s="22">
        <f t="shared" si="4"/>
        <v>0</v>
      </c>
      <c r="F45" s="22">
        <f t="shared" si="5"/>
        <v>-9.822542779147625E-11</v>
      </c>
      <c r="G45">
        <f t="shared" si="0"/>
        <v>0</v>
      </c>
      <c r="H45">
        <f t="shared" si="7"/>
        <v>28</v>
      </c>
    </row>
    <row r="46" spans="1:8" x14ac:dyDescent="0.25">
      <c r="A46">
        <f t="shared" si="1"/>
        <v>0</v>
      </c>
      <c r="B46" s="22">
        <f t="shared" si="6"/>
        <v>-9.822542779147625E-11</v>
      </c>
      <c r="C46" s="22">
        <f t="shared" si="2"/>
        <v>0</v>
      </c>
      <c r="D46" s="22">
        <f t="shared" si="3"/>
        <v>0</v>
      </c>
      <c r="E46" s="22">
        <f t="shared" si="4"/>
        <v>0</v>
      </c>
      <c r="F46" s="22">
        <f t="shared" si="5"/>
        <v>-9.822542779147625E-11</v>
      </c>
      <c r="G46">
        <f t="shared" si="0"/>
        <v>0</v>
      </c>
      <c r="H46">
        <f t="shared" si="7"/>
        <v>29</v>
      </c>
    </row>
    <row r="47" spans="1:8" x14ac:dyDescent="0.25">
      <c r="A47">
        <f t="shared" si="1"/>
        <v>0</v>
      </c>
      <c r="B47" s="22">
        <f t="shared" si="6"/>
        <v>-9.822542779147625E-11</v>
      </c>
      <c r="C47" s="22">
        <f t="shared" si="2"/>
        <v>0</v>
      </c>
      <c r="D47" s="22">
        <f t="shared" si="3"/>
        <v>0</v>
      </c>
      <c r="E47" s="22">
        <f t="shared" si="4"/>
        <v>0</v>
      </c>
      <c r="F47" s="22">
        <f t="shared" si="5"/>
        <v>-9.822542779147625E-11</v>
      </c>
      <c r="G47">
        <f t="shared" si="0"/>
        <v>0</v>
      </c>
      <c r="H47">
        <f t="shared" si="7"/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66"/>
  <sheetViews>
    <sheetView topLeftCell="B48" workbookViewId="0">
      <selection activeCell="G65" sqref="G65"/>
    </sheetView>
  </sheetViews>
  <sheetFormatPr defaultRowHeight="15" x14ac:dyDescent="0.25"/>
  <cols>
    <col min="1" max="1" width="46.75" style="2" customWidth="1"/>
    <col min="2" max="2" width="14.875" style="2" customWidth="1"/>
    <col min="3" max="5" width="11.625" style="2" bestFit="1" customWidth="1"/>
    <col min="6" max="6" width="9" style="2"/>
    <col min="7" max="7" width="44.375" style="2" customWidth="1"/>
    <col min="8" max="8" width="13" style="2" customWidth="1"/>
    <col min="9" max="16384" width="9" style="2"/>
  </cols>
  <sheetData>
    <row r="1" spans="1:11" x14ac:dyDescent="0.25">
      <c r="A1" s="1" t="s">
        <v>51</v>
      </c>
      <c r="B1" s="1"/>
      <c r="C1" s="1"/>
      <c r="D1" s="1"/>
      <c r="E1" s="1"/>
      <c r="F1" s="1"/>
      <c r="G1" s="1" t="s">
        <v>126</v>
      </c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7" t="s">
        <v>52</v>
      </c>
      <c r="B3" s="27"/>
      <c r="C3" s="27"/>
      <c r="D3" s="27"/>
      <c r="E3" s="27"/>
      <c r="F3" s="1"/>
      <c r="G3" s="27" t="s">
        <v>125</v>
      </c>
      <c r="H3" s="27"/>
      <c r="I3" s="27"/>
      <c r="J3" s="27"/>
      <c r="K3" s="27"/>
    </row>
    <row r="4" spans="1:11" ht="20.25" thickBot="1" x14ac:dyDescent="0.3">
      <c r="A4" s="27"/>
      <c r="B4" s="40" t="s">
        <v>53</v>
      </c>
      <c r="C4" s="40"/>
      <c r="D4" s="40"/>
      <c r="E4" s="40"/>
      <c r="F4" s="1"/>
      <c r="G4" s="27"/>
      <c r="H4" s="40" t="s">
        <v>53</v>
      </c>
      <c r="I4" s="40"/>
      <c r="J4" s="40"/>
      <c r="K4" s="40"/>
    </row>
    <row r="5" spans="1:11" ht="16.5" thickTop="1" thickBot="1" x14ac:dyDescent="0.3">
      <c r="A5" s="27"/>
      <c r="B5" s="28">
        <v>1999</v>
      </c>
      <c r="C5" s="28">
        <v>2000</v>
      </c>
      <c r="D5" s="28">
        <v>2001</v>
      </c>
      <c r="E5" s="28">
        <v>2002</v>
      </c>
      <c r="F5" s="1"/>
      <c r="G5" s="27"/>
      <c r="H5" s="28">
        <v>1999</v>
      </c>
      <c r="I5" s="28">
        <v>2000</v>
      </c>
      <c r="J5" s="28">
        <v>2001</v>
      </c>
      <c r="K5" s="28">
        <v>2002</v>
      </c>
    </row>
    <row r="6" spans="1:11" x14ac:dyDescent="0.25">
      <c r="A6" s="29" t="s">
        <v>54</v>
      </c>
      <c r="B6" s="30">
        <v>1234.9000000000001</v>
      </c>
      <c r="C6" s="30">
        <v>1251.7</v>
      </c>
      <c r="D6" s="30">
        <v>1300.4000000000001</v>
      </c>
      <c r="E6" s="30">
        <v>1334.4</v>
      </c>
      <c r="F6" s="25"/>
      <c r="G6" s="29" t="s">
        <v>54</v>
      </c>
      <c r="H6" s="38">
        <f t="shared" ref="H6:H23" si="0">B6/B$6</f>
        <v>1</v>
      </c>
      <c r="I6" s="38">
        <f t="shared" ref="I6:K21" si="1">C6/C$6</f>
        <v>1</v>
      </c>
      <c r="J6" s="38">
        <f t="shared" si="1"/>
        <v>1</v>
      </c>
      <c r="K6" s="38">
        <f t="shared" si="1"/>
        <v>1</v>
      </c>
    </row>
    <row r="7" spans="1:11" ht="15.75" thickBot="1" x14ac:dyDescent="0.3">
      <c r="A7" s="29" t="s">
        <v>55</v>
      </c>
      <c r="B7" s="31">
        <v>679.1</v>
      </c>
      <c r="C7" s="31">
        <v>659</v>
      </c>
      <c r="D7" s="31">
        <v>681.3</v>
      </c>
      <c r="E7" s="31">
        <v>667</v>
      </c>
      <c r="F7" s="25"/>
      <c r="G7" s="29" t="s">
        <v>55</v>
      </c>
      <c r="H7" s="38">
        <f t="shared" si="0"/>
        <v>0.54992307069398327</v>
      </c>
      <c r="I7" s="38">
        <f t="shared" si="1"/>
        <v>0.52648398178477274</v>
      </c>
      <c r="J7" s="38">
        <f t="shared" si="1"/>
        <v>0.52391571824054128</v>
      </c>
      <c r="K7" s="38">
        <f t="shared" si="1"/>
        <v>0.49985011990407668</v>
      </c>
    </row>
    <row r="8" spans="1:11" x14ac:dyDescent="0.25">
      <c r="A8" s="29" t="s">
        <v>56</v>
      </c>
      <c r="B8" s="30">
        <f>B6-B7</f>
        <v>555.80000000000007</v>
      </c>
      <c r="C8" s="30">
        <f>C6-C7</f>
        <v>592.70000000000005</v>
      </c>
      <c r="D8" s="30">
        <f>D6-D7</f>
        <v>619.10000000000014</v>
      </c>
      <c r="E8" s="30">
        <f>E6-E7</f>
        <v>667.40000000000009</v>
      </c>
      <c r="F8" s="25"/>
      <c r="G8" s="29" t="s">
        <v>56</v>
      </c>
      <c r="H8" s="38">
        <f t="shared" si="0"/>
        <v>0.45007692930601673</v>
      </c>
      <c r="I8" s="38">
        <f t="shared" si="1"/>
        <v>0.47351601821522732</v>
      </c>
      <c r="J8" s="38">
        <f t="shared" si="1"/>
        <v>0.47608428175945872</v>
      </c>
      <c r="K8" s="38">
        <f t="shared" si="1"/>
        <v>0.50014988009592332</v>
      </c>
    </row>
    <row r="9" spans="1:11" x14ac:dyDescent="0.25">
      <c r="A9" s="29"/>
      <c r="B9" s="30"/>
      <c r="C9" s="30"/>
      <c r="D9" s="30"/>
      <c r="E9" s="30"/>
      <c r="F9" s="25"/>
      <c r="G9" s="29"/>
      <c r="H9" s="38">
        <f t="shared" si="0"/>
        <v>0</v>
      </c>
      <c r="I9" s="38">
        <f t="shared" si="1"/>
        <v>0</v>
      </c>
      <c r="J9" s="38">
        <f t="shared" si="1"/>
        <v>0</v>
      </c>
      <c r="K9" s="38">
        <f t="shared" si="1"/>
        <v>0</v>
      </c>
    </row>
    <row r="10" spans="1:11" x14ac:dyDescent="0.25">
      <c r="A10" s="29" t="s">
        <v>57</v>
      </c>
      <c r="B10" s="30">
        <v>339.7</v>
      </c>
      <c r="C10" s="30">
        <v>348.6</v>
      </c>
      <c r="D10" s="30">
        <v>351.2</v>
      </c>
      <c r="E10" s="30">
        <v>373.3</v>
      </c>
      <c r="F10" s="25"/>
      <c r="G10" s="29" t="s">
        <v>57</v>
      </c>
      <c r="H10" s="38">
        <f t="shared" si="0"/>
        <v>0.27508300267228114</v>
      </c>
      <c r="I10" s="38">
        <f t="shared" si="1"/>
        <v>0.27850123831589041</v>
      </c>
      <c r="J10" s="38">
        <f t="shared" si="1"/>
        <v>0.27007074746231924</v>
      </c>
      <c r="K10" s="38">
        <f t="shared" si="1"/>
        <v>0.2797511990407674</v>
      </c>
    </row>
    <row r="11" spans="1:11" x14ac:dyDescent="0.25">
      <c r="A11" s="29" t="s">
        <v>58</v>
      </c>
      <c r="B11" s="30">
        <v>47.5</v>
      </c>
      <c r="C11" s="30">
        <v>52</v>
      </c>
      <c r="D11" s="30">
        <v>55.9</v>
      </c>
      <c r="E11" s="30">
        <v>75.2</v>
      </c>
      <c r="F11" s="25"/>
      <c r="G11" s="29" t="s">
        <v>58</v>
      </c>
      <c r="H11" s="38">
        <f t="shared" si="0"/>
        <v>3.8464653008340753E-2</v>
      </c>
      <c r="I11" s="38">
        <f t="shared" si="1"/>
        <v>4.1543500838859153E-2</v>
      </c>
      <c r="J11" s="38">
        <f t="shared" si="1"/>
        <v>4.2986773300522911E-2</v>
      </c>
      <c r="K11" s="38">
        <f t="shared" si="1"/>
        <v>5.635491606714628E-2</v>
      </c>
    </row>
    <row r="12" spans="1:11" ht="15.75" thickBot="1" x14ac:dyDescent="0.3">
      <c r="A12" s="29" t="s">
        <v>59</v>
      </c>
      <c r="B12" s="31">
        <v>-11.8</v>
      </c>
      <c r="C12" s="31">
        <v>-7.6</v>
      </c>
      <c r="D12" s="31">
        <v>-7</v>
      </c>
      <c r="E12" s="31">
        <v>-8.1999999999999993</v>
      </c>
      <c r="F12" s="25"/>
      <c r="G12" s="29" t="s">
        <v>59</v>
      </c>
      <c r="H12" s="38">
        <f t="shared" si="0"/>
        <v>-9.5554295894404399E-3</v>
      </c>
      <c r="I12" s="38">
        <f t="shared" si="1"/>
        <v>-6.0717424302947987E-3</v>
      </c>
      <c r="J12" s="38">
        <f t="shared" si="1"/>
        <v>-5.3829590895109192E-3</v>
      </c>
      <c r="K12" s="38">
        <f t="shared" si="1"/>
        <v>-6.1450839328537161E-3</v>
      </c>
    </row>
    <row r="13" spans="1:11" x14ac:dyDescent="0.25">
      <c r="A13" s="29" t="s">
        <v>60</v>
      </c>
      <c r="B13" s="30">
        <f>B8-B10-B11-B12</f>
        <v>180.40000000000009</v>
      </c>
      <c r="C13" s="30">
        <f>C8-C10-C11-C12</f>
        <v>199.70000000000002</v>
      </c>
      <c r="D13" s="30">
        <f>D8-D10-D11-D12</f>
        <v>219.00000000000014</v>
      </c>
      <c r="E13" s="30">
        <f>E8-E10-E11-E12</f>
        <v>227.10000000000008</v>
      </c>
      <c r="F13" s="25"/>
      <c r="G13" s="29" t="s">
        <v>60</v>
      </c>
      <c r="H13" s="38">
        <f t="shared" si="0"/>
        <v>0.14608470321483527</v>
      </c>
      <c r="I13" s="38">
        <f t="shared" si="1"/>
        <v>0.15954302149077257</v>
      </c>
      <c r="J13" s="38">
        <f t="shared" si="1"/>
        <v>0.16840972008612745</v>
      </c>
      <c r="K13" s="38">
        <f t="shared" si="1"/>
        <v>0.17018884892086336</v>
      </c>
    </row>
    <row r="14" spans="1:11" x14ac:dyDescent="0.25">
      <c r="A14" s="29"/>
      <c r="B14" s="30"/>
      <c r="C14" s="30"/>
      <c r="D14" s="30"/>
      <c r="E14" s="30"/>
      <c r="F14" s="25"/>
      <c r="G14" s="29"/>
      <c r="H14" s="38">
        <f t="shared" si="0"/>
        <v>0</v>
      </c>
      <c r="I14" s="38">
        <f t="shared" si="1"/>
        <v>0</v>
      </c>
      <c r="J14" s="38">
        <f t="shared" si="1"/>
        <v>0</v>
      </c>
      <c r="K14" s="38">
        <f t="shared" si="1"/>
        <v>0</v>
      </c>
    </row>
    <row r="15" spans="1:11" x14ac:dyDescent="0.25">
      <c r="A15" s="29" t="s">
        <v>61</v>
      </c>
      <c r="B15" s="30">
        <v>-1.3</v>
      </c>
      <c r="C15" s="30">
        <v>-1.4</v>
      </c>
      <c r="D15" s="30">
        <v>-1.7</v>
      </c>
      <c r="E15" s="30">
        <v>-2</v>
      </c>
      <c r="F15" s="25"/>
      <c r="G15" s="29" t="s">
        <v>61</v>
      </c>
      <c r="H15" s="38">
        <f t="shared" si="0"/>
        <v>-1.0527168191756418E-3</v>
      </c>
      <c r="I15" s="38">
        <f t="shared" si="1"/>
        <v>-1.1184788687385156E-3</v>
      </c>
      <c r="J15" s="38">
        <f t="shared" si="1"/>
        <v>-1.3072900645955089E-3</v>
      </c>
      <c r="K15" s="38">
        <f t="shared" si="1"/>
        <v>-1.4988009592326139E-3</v>
      </c>
    </row>
    <row r="16" spans="1:11" ht="15.75" thickBot="1" x14ac:dyDescent="0.3">
      <c r="A16" s="29" t="s">
        <v>62</v>
      </c>
      <c r="B16" s="31">
        <v>16.2</v>
      </c>
      <c r="C16" s="31">
        <v>15.1</v>
      </c>
      <c r="D16" s="31">
        <v>20.5</v>
      </c>
      <c r="E16" s="31">
        <v>23.7</v>
      </c>
      <c r="F16" s="25"/>
      <c r="G16" s="29" t="s">
        <v>62</v>
      </c>
      <c r="H16" s="38">
        <f t="shared" si="0"/>
        <v>1.3118471131265687E-2</v>
      </c>
      <c r="I16" s="38">
        <f t="shared" si="1"/>
        <v>1.2063593512822561E-2</v>
      </c>
      <c r="J16" s="38">
        <f t="shared" si="1"/>
        <v>1.5764380190710549E-2</v>
      </c>
      <c r="K16" s="38">
        <f t="shared" si="1"/>
        <v>1.7760791366906472E-2</v>
      </c>
    </row>
    <row r="17" spans="1:11" x14ac:dyDescent="0.25">
      <c r="A17" s="29" t="s">
        <v>63</v>
      </c>
      <c r="B17" s="32">
        <f>B13-B15-B16</f>
        <v>165.50000000000011</v>
      </c>
      <c r="C17" s="32">
        <f>C13-C15-C16</f>
        <v>186.00000000000003</v>
      </c>
      <c r="D17" s="32">
        <f>D13-D15-D16</f>
        <v>200.20000000000013</v>
      </c>
      <c r="E17" s="32">
        <f>E13-E15-E16</f>
        <v>205.40000000000009</v>
      </c>
      <c r="F17" s="25"/>
      <c r="G17" s="29" t="s">
        <v>63</v>
      </c>
      <c r="H17" s="38">
        <f t="shared" si="0"/>
        <v>0.13401894890274524</v>
      </c>
      <c r="I17" s="38">
        <f t="shared" si="1"/>
        <v>0.14859790684668853</v>
      </c>
      <c r="J17" s="38">
        <f t="shared" si="1"/>
        <v>0.15395262996001238</v>
      </c>
      <c r="K17" s="38">
        <f t="shared" si="1"/>
        <v>0.15392685851318952</v>
      </c>
    </row>
    <row r="18" spans="1:11" x14ac:dyDescent="0.25">
      <c r="A18" s="29"/>
      <c r="B18" s="30"/>
      <c r="C18" s="30"/>
      <c r="D18" s="30"/>
      <c r="E18" s="30"/>
      <c r="F18" s="25"/>
      <c r="G18" s="29"/>
      <c r="H18" s="38">
        <f t="shared" si="0"/>
        <v>0</v>
      </c>
      <c r="I18" s="38">
        <f t="shared" si="1"/>
        <v>0</v>
      </c>
      <c r="J18" s="38">
        <f t="shared" si="1"/>
        <v>0</v>
      </c>
      <c r="K18" s="38">
        <f t="shared" si="1"/>
        <v>0</v>
      </c>
    </row>
    <row r="19" spans="1:11" ht="15.75" thickBot="1" x14ac:dyDescent="0.3">
      <c r="A19" s="29" t="s">
        <v>64</v>
      </c>
      <c r="B19" s="31">
        <v>56.8</v>
      </c>
      <c r="C19" s="31">
        <v>64.2</v>
      </c>
      <c r="D19" s="31">
        <v>67.5</v>
      </c>
      <c r="E19" s="31">
        <v>72.599999999999994</v>
      </c>
      <c r="F19" s="25"/>
      <c r="G19" s="29" t="s">
        <v>64</v>
      </c>
      <c r="H19" s="38">
        <f t="shared" si="0"/>
        <v>4.599562717628957E-2</v>
      </c>
      <c r="I19" s="38">
        <f t="shared" si="1"/>
        <v>5.1290245266437648E-2</v>
      </c>
      <c r="J19" s="38">
        <f t="shared" si="1"/>
        <v>5.1907105505998148E-2</v>
      </c>
      <c r="K19" s="38">
        <f t="shared" si="1"/>
        <v>5.440647482014388E-2</v>
      </c>
    </row>
    <row r="20" spans="1:11" ht="15.75" thickBot="1" x14ac:dyDescent="0.3">
      <c r="A20" s="29" t="s">
        <v>65</v>
      </c>
      <c r="B20" s="33">
        <f>B17-B19</f>
        <v>108.70000000000012</v>
      </c>
      <c r="C20" s="33">
        <f>C17-C19</f>
        <v>121.80000000000003</v>
      </c>
      <c r="D20" s="33">
        <f>D17-D19</f>
        <v>132.70000000000013</v>
      </c>
      <c r="E20" s="33">
        <f>E17-E19</f>
        <v>132.8000000000001</v>
      </c>
      <c r="F20" s="25"/>
      <c r="G20" s="29" t="s">
        <v>65</v>
      </c>
      <c r="H20" s="38">
        <f t="shared" si="0"/>
        <v>8.8023321726455675E-2</v>
      </c>
      <c r="I20" s="38">
        <f t="shared" si="1"/>
        <v>9.7307661580250879E-2</v>
      </c>
      <c r="J20" s="38">
        <f t="shared" si="1"/>
        <v>0.10204552445401424</v>
      </c>
      <c r="K20" s="38">
        <f t="shared" si="1"/>
        <v>9.9520383693045625E-2</v>
      </c>
    </row>
    <row r="21" spans="1:11" ht="15.75" thickTop="1" x14ac:dyDescent="0.25">
      <c r="A21" s="29"/>
      <c r="B21" s="30"/>
      <c r="C21" s="30"/>
      <c r="D21" s="30"/>
      <c r="E21" s="30"/>
      <c r="F21" s="25"/>
      <c r="G21" s="29"/>
      <c r="H21" s="38">
        <f t="shared" si="0"/>
        <v>0</v>
      </c>
      <c r="I21" s="38">
        <f t="shared" si="1"/>
        <v>0</v>
      </c>
      <c r="J21" s="38">
        <f t="shared" si="1"/>
        <v>0</v>
      </c>
      <c r="K21" s="38">
        <f t="shared" si="1"/>
        <v>0</v>
      </c>
    </row>
    <row r="22" spans="1:11" x14ac:dyDescent="0.25">
      <c r="A22" s="29" t="s">
        <v>66</v>
      </c>
      <c r="B22" s="30">
        <v>38.299999999999997</v>
      </c>
      <c r="C22" s="30">
        <v>38.700000000000003</v>
      </c>
      <c r="D22" s="30">
        <v>39.799999999999997</v>
      </c>
      <c r="E22" s="30">
        <v>40.1</v>
      </c>
      <c r="F22" s="25"/>
      <c r="G22" s="29" t="s">
        <v>66</v>
      </c>
      <c r="H22" s="38">
        <f t="shared" si="0"/>
        <v>3.1014657057251593E-2</v>
      </c>
      <c r="I22" s="38">
        <f t="shared" ref="I22:K23" si="2">C22/C$6</f>
        <v>3.0917951585843255E-2</v>
      </c>
      <c r="J22" s="38">
        <f t="shared" si="2"/>
        <v>3.0605967394647795E-2</v>
      </c>
      <c r="K22" s="38">
        <f t="shared" si="2"/>
        <v>3.0050959232613909E-2</v>
      </c>
    </row>
    <row r="23" spans="1:11" x14ac:dyDescent="0.25">
      <c r="A23" s="29" t="s">
        <v>67</v>
      </c>
      <c r="B23" s="30">
        <f>B20-B22</f>
        <v>70.400000000000119</v>
      </c>
      <c r="C23" s="30">
        <f>C20-C22</f>
        <v>83.100000000000023</v>
      </c>
      <c r="D23" s="30">
        <f>D20-D22</f>
        <v>92.900000000000134</v>
      </c>
      <c r="E23" s="30">
        <f>E20-E22</f>
        <v>92.700000000000102</v>
      </c>
      <c r="F23" s="25"/>
      <c r="G23" s="29" t="s">
        <v>67</v>
      </c>
      <c r="H23" s="38">
        <f t="shared" si="0"/>
        <v>5.7008664669204075E-2</v>
      </c>
      <c r="I23" s="38">
        <f t="shared" si="2"/>
        <v>6.6389709994407617E-2</v>
      </c>
      <c r="J23" s="38">
        <f t="shared" si="2"/>
        <v>7.1439557059366443E-2</v>
      </c>
      <c r="K23" s="38">
        <f t="shared" si="2"/>
        <v>6.9469424460431722E-2</v>
      </c>
    </row>
    <row r="24" spans="1:11" x14ac:dyDescent="0.25">
      <c r="B24" s="25"/>
      <c r="C24" s="25"/>
      <c r="D24" s="25"/>
      <c r="E24" s="25"/>
      <c r="F24" s="25"/>
      <c r="H24" s="25"/>
      <c r="I24" s="25"/>
      <c r="J24" s="25"/>
      <c r="K24" s="25"/>
    </row>
    <row r="25" spans="1:11" x14ac:dyDescent="0.25">
      <c r="B25" s="25"/>
      <c r="C25" s="25"/>
      <c r="D25" s="25"/>
      <c r="E25" s="25"/>
      <c r="F25" s="25"/>
      <c r="H25" s="25"/>
      <c r="I25" s="25"/>
      <c r="J25" s="25"/>
      <c r="K25" s="25"/>
    </row>
    <row r="26" spans="1:11" x14ac:dyDescent="0.25">
      <c r="B26" s="25"/>
      <c r="C26" s="25"/>
      <c r="D26" s="25"/>
      <c r="E26" s="25"/>
      <c r="F26" s="25"/>
      <c r="H26" s="25"/>
      <c r="I26" s="25"/>
      <c r="J26" s="25"/>
      <c r="K26" s="25"/>
    </row>
    <row r="27" spans="1:11" x14ac:dyDescent="0.25">
      <c r="B27" s="25"/>
      <c r="C27" s="25"/>
      <c r="D27" s="25"/>
      <c r="E27" s="25"/>
      <c r="F27" s="25"/>
      <c r="H27" s="25"/>
      <c r="I27" s="25"/>
      <c r="J27" s="25"/>
      <c r="K27" s="25"/>
    </row>
    <row r="28" spans="1:11" x14ac:dyDescent="0.25">
      <c r="A28" s="27" t="s">
        <v>68</v>
      </c>
      <c r="B28" s="30"/>
      <c r="C28" s="30"/>
      <c r="D28" s="30"/>
      <c r="E28" s="30"/>
      <c r="F28" s="25"/>
      <c r="G28" s="27" t="s">
        <v>68</v>
      </c>
      <c r="H28" s="30"/>
      <c r="I28" s="30"/>
      <c r="J28" s="30"/>
      <c r="K28" s="30"/>
    </row>
    <row r="29" spans="1:11" ht="20.25" thickBot="1" x14ac:dyDescent="0.3">
      <c r="A29" s="27"/>
      <c r="B29" s="40" t="s">
        <v>53</v>
      </c>
      <c r="C29" s="40"/>
      <c r="D29" s="40"/>
      <c r="E29" s="40"/>
      <c r="F29" s="1"/>
      <c r="G29" s="27"/>
      <c r="H29" s="40" t="s">
        <v>53</v>
      </c>
      <c r="I29" s="40"/>
      <c r="J29" s="40"/>
      <c r="K29" s="40"/>
    </row>
    <row r="30" spans="1:11" ht="16.5" thickTop="1" thickBot="1" x14ac:dyDescent="0.3">
      <c r="A30" s="27" t="s">
        <v>96</v>
      </c>
      <c r="B30" s="28">
        <v>1999</v>
      </c>
      <c r="C30" s="28">
        <v>2000</v>
      </c>
      <c r="D30" s="28">
        <v>2001</v>
      </c>
      <c r="E30" s="28">
        <v>2002</v>
      </c>
      <c r="F30" s="1"/>
      <c r="G30" s="27" t="s">
        <v>96</v>
      </c>
      <c r="H30" s="28">
        <v>1999</v>
      </c>
      <c r="I30" s="28">
        <v>2000</v>
      </c>
      <c r="J30" s="28">
        <v>2001</v>
      </c>
      <c r="K30" s="28">
        <v>2002</v>
      </c>
    </row>
    <row r="31" spans="1:11" s="36" customFormat="1" x14ac:dyDescent="0.25">
      <c r="A31" s="35" t="s">
        <v>95</v>
      </c>
      <c r="B31" s="30">
        <v>25.6</v>
      </c>
      <c r="C31" s="30">
        <v>23</v>
      </c>
      <c r="D31" s="30">
        <v>32.1</v>
      </c>
      <c r="E31" s="30">
        <v>28.4</v>
      </c>
      <c r="G31" s="35" t="s">
        <v>95</v>
      </c>
      <c r="H31" s="38">
        <f>B31/B$6</f>
        <v>2.0730423516074174E-2</v>
      </c>
      <c r="I31" s="38">
        <f>C31/C$6</f>
        <v>1.8375009986418469E-2</v>
      </c>
      <c r="J31" s="38">
        <f>D31/D$6</f>
        <v>2.468471239618579E-2</v>
      </c>
      <c r="K31" s="38">
        <f>E31/E$6</f>
        <v>2.1282973621103114E-2</v>
      </c>
    </row>
    <row r="32" spans="1:11" x14ac:dyDescent="0.25">
      <c r="A32" s="29" t="s">
        <v>69</v>
      </c>
      <c r="B32" s="30">
        <v>99.4</v>
      </c>
      <c r="C32" s="30">
        <v>102.9</v>
      </c>
      <c r="D32" s="30">
        <v>107.3</v>
      </c>
      <c r="E32" s="30">
        <v>120.1</v>
      </c>
      <c r="F32" s="25"/>
      <c r="G32" s="29" t="s">
        <v>69</v>
      </c>
      <c r="H32" s="38">
        <f t="shared" ref="H32:H61" si="3">B32/B$6</f>
        <v>8.049234755850676E-2</v>
      </c>
      <c r="I32" s="38">
        <f t="shared" ref="I32:I61" si="4">C32/C$6</f>
        <v>8.2208196852280896E-2</v>
      </c>
      <c r="J32" s="38">
        <f t="shared" ref="J32:J61" si="5">D32/D$6</f>
        <v>8.2513072900645953E-2</v>
      </c>
      <c r="K32" s="38">
        <f t="shared" ref="K32:K61" si="6">E32/E$6</f>
        <v>9.0002997601918461E-2</v>
      </c>
    </row>
    <row r="33" spans="1:11" x14ac:dyDescent="0.25">
      <c r="A33" s="29" t="s">
        <v>70</v>
      </c>
      <c r="B33" s="30">
        <v>109.6</v>
      </c>
      <c r="C33" s="30">
        <v>108</v>
      </c>
      <c r="D33" s="30">
        <v>114.9</v>
      </c>
      <c r="E33" s="30">
        <v>116.8</v>
      </c>
      <c r="F33" s="25"/>
      <c r="G33" s="29" t="s">
        <v>70</v>
      </c>
      <c r="H33" s="38">
        <f t="shared" si="3"/>
        <v>8.8752125678192559E-2</v>
      </c>
      <c r="I33" s="38">
        <f t="shared" si="4"/>
        <v>8.6282655588399773E-2</v>
      </c>
      <c r="J33" s="38">
        <f t="shared" si="5"/>
        <v>8.8357428483543526E-2</v>
      </c>
      <c r="K33" s="38">
        <f t="shared" si="6"/>
        <v>8.7529976019184649E-2</v>
      </c>
    </row>
    <row r="34" spans="1:11" ht="15.75" thickBot="1" x14ac:dyDescent="0.3">
      <c r="A34" s="29" t="s">
        <v>71</v>
      </c>
      <c r="B34" s="31">
        <v>96.7</v>
      </c>
      <c r="C34" s="31">
        <v>91.4</v>
      </c>
      <c r="D34" s="31">
        <v>103.7</v>
      </c>
      <c r="E34" s="31">
        <v>97.5</v>
      </c>
      <c r="F34" s="25"/>
      <c r="G34" s="29" t="s">
        <v>71</v>
      </c>
      <c r="H34" s="38">
        <f t="shared" si="3"/>
        <v>7.8305935703295804E-2</v>
      </c>
      <c r="I34" s="38">
        <f t="shared" si="4"/>
        <v>7.302069185907166E-2</v>
      </c>
      <c r="J34" s="38">
        <f t="shared" si="5"/>
        <v>7.9744693940326045E-2</v>
      </c>
      <c r="K34" s="38">
        <f t="shared" si="6"/>
        <v>7.3066546762589918E-2</v>
      </c>
    </row>
    <row r="35" spans="1:11" x14ac:dyDescent="0.25">
      <c r="A35" s="29" t="s">
        <v>72</v>
      </c>
      <c r="B35" s="30">
        <f>SUM(B31:B34)</f>
        <v>331.3</v>
      </c>
      <c r="C35" s="30">
        <f>SUM(C31:C34)</f>
        <v>325.3</v>
      </c>
      <c r="D35" s="30">
        <f>SUM(D31:D34)</f>
        <v>358</v>
      </c>
      <c r="E35" s="30">
        <f>SUM(E31:E34)</f>
        <v>362.8</v>
      </c>
      <c r="F35" s="25"/>
      <c r="G35" s="29" t="s">
        <v>72</v>
      </c>
      <c r="H35" s="38">
        <f t="shared" si="3"/>
        <v>0.26828083245606932</v>
      </c>
      <c r="I35" s="38">
        <f t="shared" si="4"/>
        <v>0.2598865542861708</v>
      </c>
      <c r="J35" s="38">
        <f t="shared" si="5"/>
        <v>0.27529990772070129</v>
      </c>
      <c r="K35" s="38">
        <f t="shared" si="6"/>
        <v>0.27188249400479614</v>
      </c>
    </row>
    <row r="36" spans="1:11" x14ac:dyDescent="0.25">
      <c r="A36" s="29"/>
      <c r="B36" s="30"/>
      <c r="C36" s="30"/>
      <c r="D36" s="30"/>
      <c r="E36" s="30"/>
      <c r="F36" s="25"/>
      <c r="G36" s="29"/>
      <c r="H36" s="38">
        <f t="shared" si="3"/>
        <v>0</v>
      </c>
      <c r="I36" s="38">
        <f t="shared" si="4"/>
        <v>0</v>
      </c>
      <c r="J36" s="38">
        <f t="shared" si="5"/>
        <v>0</v>
      </c>
      <c r="K36" s="38">
        <f t="shared" si="6"/>
        <v>0</v>
      </c>
    </row>
    <row r="37" spans="1:11" x14ac:dyDescent="0.25">
      <c r="A37" s="29" t="s">
        <v>73</v>
      </c>
      <c r="B37" s="30">
        <v>680.9</v>
      </c>
      <c r="C37" s="30">
        <v>734.3</v>
      </c>
      <c r="D37" s="30">
        <v>820.8</v>
      </c>
      <c r="E37" s="30">
        <v>913.1</v>
      </c>
      <c r="F37" s="25"/>
      <c r="G37" s="29" t="s">
        <v>73</v>
      </c>
      <c r="H37" s="38">
        <f t="shared" si="3"/>
        <v>0.55138067859745721</v>
      </c>
      <c r="I37" s="38">
        <f t="shared" si="4"/>
        <v>0.58664216665335134</v>
      </c>
      <c r="J37" s="38">
        <f t="shared" si="5"/>
        <v>0.63119040295293749</v>
      </c>
      <c r="K37" s="38">
        <f t="shared" si="6"/>
        <v>0.68427757793764987</v>
      </c>
    </row>
    <row r="38" spans="1:11" ht="15.75" thickBot="1" x14ac:dyDescent="0.3">
      <c r="A38" s="29" t="s">
        <v>74</v>
      </c>
      <c r="B38" s="31">
        <v>244.8</v>
      </c>
      <c r="C38" s="31">
        <v>296.8</v>
      </c>
      <c r="D38" s="31">
        <v>352.7</v>
      </c>
      <c r="E38" s="31">
        <v>427.9</v>
      </c>
      <c r="F38" s="25"/>
      <c r="G38" s="29" t="s">
        <v>74</v>
      </c>
      <c r="H38" s="38">
        <f t="shared" si="3"/>
        <v>0.1982346748724593</v>
      </c>
      <c r="I38" s="38">
        <f t="shared" si="4"/>
        <v>0.23711752017256532</v>
      </c>
      <c r="J38" s="38">
        <f t="shared" si="5"/>
        <v>0.27122423869578588</v>
      </c>
      <c r="K38" s="38">
        <f t="shared" si="6"/>
        <v>0.32066846522781772</v>
      </c>
    </row>
    <row r="39" spans="1:11" x14ac:dyDescent="0.25">
      <c r="A39" s="29" t="s">
        <v>75</v>
      </c>
      <c r="B39" s="30">
        <f>B37-B38</f>
        <v>436.09999999999997</v>
      </c>
      <c r="C39" s="30">
        <f>C37-C38</f>
        <v>437.49999999999994</v>
      </c>
      <c r="D39" s="30">
        <f>D37-D38</f>
        <v>468.09999999999997</v>
      </c>
      <c r="E39" s="30">
        <f>E37-E38</f>
        <v>485.20000000000005</v>
      </c>
      <c r="F39" s="25"/>
      <c r="G39" s="29" t="s">
        <v>75</v>
      </c>
      <c r="H39" s="38">
        <f t="shared" si="3"/>
        <v>0.35314600372499794</v>
      </c>
      <c r="I39" s="38">
        <f t="shared" si="4"/>
        <v>0.34952464648078607</v>
      </c>
      <c r="J39" s="38">
        <f t="shared" si="5"/>
        <v>0.35996616425715161</v>
      </c>
      <c r="K39" s="38">
        <f t="shared" si="6"/>
        <v>0.36360911270983215</v>
      </c>
    </row>
    <row r="40" spans="1:11" x14ac:dyDescent="0.25">
      <c r="A40" s="29"/>
      <c r="B40" s="30"/>
      <c r="C40" s="30"/>
      <c r="D40" s="30"/>
      <c r="E40" s="30"/>
      <c r="F40" s="25"/>
      <c r="G40" s="29"/>
      <c r="H40" s="38">
        <f t="shared" si="3"/>
        <v>0</v>
      </c>
      <c r="I40" s="38">
        <f t="shared" si="4"/>
        <v>0</v>
      </c>
      <c r="J40" s="38">
        <f t="shared" si="5"/>
        <v>0</v>
      </c>
      <c r="K40" s="38">
        <f t="shared" si="6"/>
        <v>0</v>
      </c>
    </row>
    <row r="41" spans="1:11" ht="15.75" thickBot="1" x14ac:dyDescent="0.3">
      <c r="A41" s="29" t="s">
        <v>76</v>
      </c>
      <c r="B41" s="31">
        <v>203.2</v>
      </c>
      <c r="C41" s="31">
        <v>205.1</v>
      </c>
      <c r="D41" s="31">
        <v>407</v>
      </c>
      <c r="E41" s="31">
        <v>456.3</v>
      </c>
      <c r="F41" s="25"/>
      <c r="G41" s="29" t="s">
        <v>76</v>
      </c>
      <c r="H41" s="38">
        <f t="shared" si="3"/>
        <v>0.16454773665883876</v>
      </c>
      <c r="I41" s="38">
        <f t="shared" si="4"/>
        <v>0.16385715427019254</v>
      </c>
      <c r="J41" s="38">
        <f t="shared" si="5"/>
        <v>0.31298062134727772</v>
      </c>
      <c r="K41" s="38">
        <f t="shared" si="6"/>
        <v>0.34195143884892087</v>
      </c>
    </row>
    <row r="42" spans="1:11" x14ac:dyDescent="0.25">
      <c r="A42" s="29" t="s">
        <v>77</v>
      </c>
      <c r="B42" s="30">
        <f>B39+B41</f>
        <v>639.29999999999995</v>
      </c>
      <c r="C42" s="30">
        <f>C39+C41</f>
        <v>642.59999999999991</v>
      </c>
      <c r="D42" s="30">
        <f>D39+D41</f>
        <v>875.09999999999991</v>
      </c>
      <c r="E42" s="30">
        <f>E39+E41</f>
        <v>941.5</v>
      </c>
      <c r="F42" s="25"/>
      <c r="G42" s="29" t="s">
        <v>77</v>
      </c>
      <c r="H42" s="38">
        <f t="shared" si="3"/>
        <v>0.51769374038383664</v>
      </c>
      <c r="I42" s="38">
        <f t="shared" si="4"/>
        <v>0.51338180075097861</v>
      </c>
      <c r="J42" s="38">
        <f t="shared" si="5"/>
        <v>0.67294678560442933</v>
      </c>
      <c r="K42" s="38">
        <f t="shared" si="6"/>
        <v>0.70556055155875297</v>
      </c>
    </row>
    <row r="43" spans="1:11" x14ac:dyDescent="0.25">
      <c r="A43" s="29"/>
      <c r="B43" s="30"/>
      <c r="C43" s="30"/>
      <c r="D43" s="30"/>
      <c r="E43" s="30"/>
      <c r="F43" s="25"/>
      <c r="G43" s="29"/>
      <c r="H43" s="38">
        <f t="shared" si="3"/>
        <v>0</v>
      </c>
      <c r="I43" s="38">
        <f t="shared" si="4"/>
        <v>0</v>
      </c>
      <c r="J43" s="38">
        <f t="shared" si="5"/>
        <v>0</v>
      </c>
      <c r="K43" s="38">
        <f t="shared" si="6"/>
        <v>0</v>
      </c>
    </row>
    <row r="44" spans="1:11" ht="15.75" thickBot="1" x14ac:dyDescent="0.3">
      <c r="A44" s="27" t="s">
        <v>78</v>
      </c>
      <c r="B44" s="33">
        <f>B35+B42</f>
        <v>970.59999999999991</v>
      </c>
      <c r="C44" s="33">
        <f>C35+C42</f>
        <v>967.89999999999986</v>
      </c>
      <c r="D44" s="33">
        <f>D35+D42</f>
        <v>1233.0999999999999</v>
      </c>
      <c r="E44" s="33">
        <f>E35+E42</f>
        <v>1304.3</v>
      </c>
      <c r="F44" s="25"/>
      <c r="G44" s="27" t="s">
        <v>78</v>
      </c>
      <c r="H44" s="38">
        <f t="shared" si="3"/>
        <v>0.78597457283990591</v>
      </c>
      <c r="I44" s="38">
        <f t="shared" si="4"/>
        <v>0.7732683550371493</v>
      </c>
      <c r="J44" s="38">
        <f t="shared" si="5"/>
        <v>0.94824669332513056</v>
      </c>
      <c r="K44" s="38">
        <f t="shared" si="6"/>
        <v>0.97744304556354911</v>
      </c>
    </row>
    <row r="45" spans="1:11" ht="15.75" thickTop="1" x14ac:dyDescent="0.25">
      <c r="A45" s="29"/>
      <c r="B45" s="30"/>
      <c r="C45" s="30"/>
      <c r="D45" s="30"/>
      <c r="E45" s="30"/>
      <c r="F45" s="25"/>
      <c r="G45" s="29"/>
      <c r="H45" s="38">
        <f t="shared" si="3"/>
        <v>0</v>
      </c>
      <c r="I45" s="38">
        <f t="shared" si="4"/>
        <v>0</v>
      </c>
      <c r="J45" s="38">
        <f t="shared" si="5"/>
        <v>0</v>
      </c>
      <c r="K45" s="38">
        <f t="shared" si="6"/>
        <v>0</v>
      </c>
    </row>
    <row r="46" spans="1:11" x14ac:dyDescent="0.25">
      <c r="A46" s="27" t="s">
        <v>79</v>
      </c>
      <c r="B46" s="30"/>
      <c r="C46" s="30"/>
      <c r="D46" s="30"/>
      <c r="E46" s="30"/>
      <c r="F46" s="25"/>
      <c r="G46" s="27" t="s">
        <v>79</v>
      </c>
      <c r="H46" s="38">
        <f t="shared" si="3"/>
        <v>0</v>
      </c>
      <c r="I46" s="38">
        <f t="shared" si="4"/>
        <v>0</v>
      </c>
      <c r="J46" s="38">
        <f t="shared" si="5"/>
        <v>0</v>
      </c>
      <c r="K46" s="38">
        <f t="shared" si="6"/>
        <v>0</v>
      </c>
    </row>
    <row r="47" spans="1:11" x14ac:dyDescent="0.25">
      <c r="A47" s="29" t="s">
        <v>80</v>
      </c>
      <c r="B47" s="30">
        <v>82.8</v>
      </c>
      <c r="C47" s="30">
        <v>77.099999999999994</v>
      </c>
      <c r="D47" s="30">
        <v>71.8</v>
      </c>
      <c r="E47" s="30">
        <v>80.5</v>
      </c>
      <c r="F47" s="25"/>
      <c r="G47" s="29" t="s">
        <v>80</v>
      </c>
      <c r="H47" s="38">
        <f t="shared" si="3"/>
        <v>6.7049963559802403E-2</v>
      </c>
      <c r="I47" s="38">
        <f t="shared" si="4"/>
        <v>6.1596229128385388E-2</v>
      </c>
      <c r="J47" s="38">
        <f t="shared" si="5"/>
        <v>5.5213780375269139E-2</v>
      </c>
      <c r="K47" s="38">
        <f t="shared" si="6"/>
        <v>6.0326738609112703E-2</v>
      </c>
    </row>
    <row r="48" spans="1:11" x14ac:dyDescent="0.25">
      <c r="A48" s="29" t="s">
        <v>81</v>
      </c>
      <c r="B48" s="30">
        <v>39.1</v>
      </c>
      <c r="C48" s="30">
        <v>29.7</v>
      </c>
      <c r="D48" s="30">
        <v>79.8</v>
      </c>
      <c r="E48" s="30">
        <v>110.3</v>
      </c>
      <c r="F48" s="25"/>
      <c r="G48" s="29" t="s">
        <v>81</v>
      </c>
      <c r="H48" s="38">
        <f t="shared" si="3"/>
        <v>3.1662482792128917E-2</v>
      </c>
      <c r="I48" s="38">
        <f t="shared" si="4"/>
        <v>2.3727730286809936E-2</v>
      </c>
      <c r="J48" s="38">
        <f t="shared" si="5"/>
        <v>6.1365733620424481E-2</v>
      </c>
      <c r="K48" s="38">
        <f t="shared" si="6"/>
        <v>8.2658872901678643E-2</v>
      </c>
    </row>
    <row r="49" spans="1:11" ht="15.75" thickBot="1" x14ac:dyDescent="0.3">
      <c r="A49" s="29" t="s">
        <v>82</v>
      </c>
      <c r="B49" s="31">
        <v>152</v>
      </c>
      <c r="C49" s="31">
        <v>123.8</v>
      </c>
      <c r="D49" s="31">
        <v>172.1</v>
      </c>
      <c r="E49" s="31">
        <v>111.3</v>
      </c>
      <c r="F49" s="25"/>
      <c r="G49" s="29" t="s">
        <v>82</v>
      </c>
      <c r="H49" s="38">
        <f t="shared" si="3"/>
        <v>0.12308688962669041</v>
      </c>
      <c r="I49" s="38">
        <f t="shared" si="4"/>
        <v>9.8905488535591585E-2</v>
      </c>
      <c r="J49" s="38">
        <f t="shared" si="5"/>
        <v>0.13234389418640416</v>
      </c>
      <c r="K49" s="38">
        <f t="shared" si="6"/>
        <v>8.3408273381294959E-2</v>
      </c>
    </row>
    <row r="50" spans="1:11" x14ac:dyDescent="0.25">
      <c r="A50" s="29" t="s">
        <v>83</v>
      </c>
      <c r="B50" s="30">
        <f>SUM(B47:B49)</f>
        <v>273.89999999999998</v>
      </c>
      <c r="C50" s="30">
        <f>SUM(C47:C49)</f>
        <v>230.6</v>
      </c>
      <c r="D50" s="30">
        <f>SUM(D47:D49)</f>
        <v>323.7</v>
      </c>
      <c r="E50" s="30">
        <f>SUM(E47:E49)</f>
        <v>302.10000000000002</v>
      </c>
      <c r="F50" s="25"/>
      <c r="G50" s="29" t="s">
        <v>83</v>
      </c>
      <c r="H50" s="38">
        <f t="shared" si="3"/>
        <v>0.22179933597862173</v>
      </c>
      <c r="I50" s="38">
        <f t="shared" si="4"/>
        <v>0.18422944795078691</v>
      </c>
      <c r="J50" s="38">
        <f t="shared" si="5"/>
        <v>0.24892340818209779</v>
      </c>
      <c r="K50" s="38">
        <f t="shared" si="6"/>
        <v>0.22639388489208634</v>
      </c>
    </row>
    <row r="51" spans="1:11" x14ac:dyDescent="0.25">
      <c r="A51" s="29"/>
      <c r="B51" s="30"/>
      <c r="C51" s="30"/>
      <c r="D51" s="30"/>
      <c r="E51" s="30"/>
      <c r="F51" s="25"/>
      <c r="G51" s="29"/>
      <c r="H51" s="38">
        <f t="shared" si="3"/>
        <v>0</v>
      </c>
      <c r="I51" s="38">
        <f t="shared" si="4"/>
        <v>0</v>
      </c>
      <c r="J51" s="38">
        <f t="shared" si="5"/>
        <v>0</v>
      </c>
      <c r="K51" s="38">
        <f t="shared" si="6"/>
        <v>0</v>
      </c>
    </row>
    <row r="52" spans="1:11" x14ac:dyDescent="0.25">
      <c r="A52" s="29" t="s">
        <v>84</v>
      </c>
      <c r="B52" s="30">
        <v>163.5</v>
      </c>
      <c r="C52" s="30">
        <v>145</v>
      </c>
      <c r="D52" s="30">
        <v>201.8</v>
      </c>
      <c r="E52" s="30">
        <v>218.1</v>
      </c>
      <c r="F52" s="25"/>
      <c r="G52" s="29" t="s">
        <v>84</v>
      </c>
      <c r="H52" s="38">
        <f t="shared" si="3"/>
        <v>0.13239938456555186</v>
      </c>
      <c r="I52" s="38">
        <f t="shared" si="4"/>
        <v>0.1158424542622034</v>
      </c>
      <c r="J52" s="38">
        <f t="shared" si="5"/>
        <v>0.15518302060904338</v>
      </c>
      <c r="K52" s="38">
        <f t="shared" si="6"/>
        <v>0.16344424460431653</v>
      </c>
    </row>
    <row r="53" spans="1:11" x14ac:dyDescent="0.25">
      <c r="A53" s="29" t="s">
        <v>85</v>
      </c>
      <c r="B53" s="30">
        <v>22.3</v>
      </c>
      <c r="C53" s="30">
        <v>19.600000000000001</v>
      </c>
      <c r="D53" s="30">
        <v>15</v>
      </c>
      <c r="E53" s="30">
        <v>12.7</v>
      </c>
      <c r="F53" s="25"/>
      <c r="G53" s="29" t="s">
        <v>85</v>
      </c>
      <c r="H53" s="38">
        <f t="shared" si="3"/>
        <v>1.8058142359705237E-2</v>
      </c>
      <c r="I53" s="38">
        <f t="shared" si="4"/>
        <v>1.5658704162339221E-2</v>
      </c>
      <c r="J53" s="38">
        <f t="shared" si="5"/>
        <v>1.1534912334666256E-2</v>
      </c>
      <c r="K53" s="38">
        <f t="shared" si="6"/>
        <v>9.5173860911270964E-3</v>
      </c>
    </row>
    <row r="54" spans="1:11" ht="15.75" thickBot="1" x14ac:dyDescent="0.3">
      <c r="A54" s="29" t="s">
        <v>86</v>
      </c>
      <c r="B54" s="31">
        <v>100.6</v>
      </c>
      <c r="C54" s="31">
        <v>80.099999999999994</v>
      </c>
      <c r="D54" s="31">
        <v>115</v>
      </c>
      <c r="E54" s="31">
        <v>94.5</v>
      </c>
      <c r="F54" s="25"/>
      <c r="G54" s="29" t="s">
        <v>86</v>
      </c>
      <c r="H54" s="38">
        <f t="shared" si="3"/>
        <v>8.1464086160822721E-2</v>
      </c>
      <c r="I54" s="38">
        <f t="shared" si="4"/>
        <v>6.3992969561396496E-2</v>
      </c>
      <c r="J54" s="38">
        <f t="shared" si="5"/>
        <v>8.8434327899107962E-2</v>
      </c>
      <c r="K54" s="38">
        <f t="shared" si="6"/>
        <v>7.0818345323740997E-2</v>
      </c>
    </row>
    <row r="55" spans="1:11" x14ac:dyDescent="0.25">
      <c r="A55" s="29" t="s">
        <v>87</v>
      </c>
      <c r="B55" s="30">
        <f>SUM(B52:B54)+B50</f>
        <v>560.29999999999995</v>
      </c>
      <c r="C55" s="30">
        <f>SUM(C52:C54)+C50</f>
        <v>475.29999999999995</v>
      </c>
      <c r="D55" s="30">
        <f>SUM(D52:D54)+D50</f>
        <v>655.5</v>
      </c>
      <c r="E55" s="30">
        <f>SUM(E52:E54)+E50</f>
        <v>627.4</v>
      </c>
      <c r="F55" s="25"/>
      <c r="G55" s="29" t="s">
        <v>87</v>
      </c>
      <c r="H55" s="38">
        <f t="shared" si="3"/>
        <v>0.45372094906470151</v>
      </c>
      <c r="I55" s="38">
        <f t="shared" si="4"/>
        <v>0.37972357593672601</v>
      </c>
      <c r="J55" s="38">
        <f t="shared" si="5"/>
        <v>0.50407566902491541</v>
      </c>
      <c r="K55" s="38">
        <f t="shared" si="6"/>
        <v>0.47017386091127095</v>
      </c>
    </row>
    <row r="56" spans="1:11" x14ac:dyDescent="0.25">
      <c r="A56" s="29"/>
      <c r="B56" s="30"/>
      <c r="C56" s="30"/>
      <c r="D56" s="30"/>
      <c r="E56" s="30"/>
      <c r="F56" s="25"/>
      <c r="G56" s="29"/>
      <c r="H56" s="38">
        <f t="shared" si="3"/>
        <v>0</v>
      </c>
      <c r="I56" s="38">
        <f t="shared" si="4"/>
        <v>0</v>
      </c>
      <c r="J56" s="38">
        <f t="shared" si="5"/>
        <v>0</v>
      </c>
      <c r="K56" s="38">
        <f t="shared" si="6"/>
        <v>0</v>
      </c>
    </row>
    <row r="57" spans="1:11" x14ac:dyDescent="0.25">
      <c r="A57" s="29" t="s">
        <v>88</v>
      </c>
      <c r="B57" s="30">
        <v>46.9</v>
      </c>
      <c r="C57" s="30">
        <v>46.1</v>
      </c>
      <c r="D57" s="30">
        <v>38.200000000000003</v>
      </c>
      <c r="E57" s="30">
        <v>44.8</v>
      </c>
      <c r="F57" s="25"/>
      <c r="G57" s="29" t="s">
        <v>88</v>
      </c>
      <c r="H57" s="38">
        <f t="shared" si="3"/>
        <v>3.7978783707182766E-2</v>
      </c>
      <c r="I57" s="38">
        <f t="shared" si="4"/>
        <v>3.6829911320603981E-2</v>
      </c>
      <c r="J57" s="38">
        <f t="shared" si="5"/>
        <v>2.9375576745616732E-2</v>
      </c>
      <c r="K57" s="38">
        <f t="shared" si="6"/>
        <v>3.3573141486810544E-2</v>
      </c>
    </row>
    <row r="58" spans="1:11" ht="15.75" thickBot="1" x14ac:dyDescent="0.3">
      <c r="A58" s="29" t="s">
        <v>89</v>
      </c>
      <c r="B58" s="31">
        <v>363.4</v>
      </c>
      <c r="C58" s="31">
        <v>446.5</v>
      </c>
      <c r="D58" s="31">
        <v>539.4</v>
      </c>
      <c r="E58" s="31">
        <v>632.1</v>
      </c>
      <c r="F58" s="25"/>
      <c r="G58" s="29" t="s">
        <v>89</v>
      </c>
      <c r="H58" s="38">
        <f t="shared" si="3"/>
        <v>0.29427484006802168</v>
      </c>
      <c r="I58" s="38">
        <f t="shared" si="4"/>
        <v>0.35671486777981942</v>
      </c>
      <c r="J58" s="38">
        <f t="shared" si="5"/>
        <v>0.41479544755459852</v>
      </c>
      <c r="K58" s="38">
        <f t="shared" si="6"/>
        <v>0.4736960431654676</v>
      </c>
    </row>
    <row r="59" spans="1:11" x14ac:dyDescent="0.25">
      <c r="A59" s="29" t="s">
        <v>90</v>
      </c>
      <c r="B59" s="30">
        <f>B57+B58</f>
        <v>410.29999999999995</v>
      </c>
      <c r="C59" s="30">
        <f>C57+C58</f>
        <v>492.6</v>
      </c>
      <c r="D59" s="30">
        <f>D57+D58</f>
        <v>577.6</v>
      </c>
      <c r="E59" s="30">
        <f>E57+E58</f>
        <v>676.9</v>
      </c>
      <c r="F59" s="25"/>
      <c r="G59" s="29" t="s">
        <v>90</v>
      </c>
      <c r="H59" s="38">
        <f t="shared" si="3"/>
        <v>0.3322536237752044</v>
      </c>
      <c r="I59" s="38">
        <f t="shared" si="4"/>
        <v>0.3935447791004234</v>
      </c>
      <c r="J59" s="38">
        <f t="shared" si="5"/>
        <v>0.44417102430021532</v>
      </c>
      <c r="K59" s="38">
        <f t="shared" si="6"/>
        <v>0.5072691846522781</v>
      </c>
    </row>
    <row r="60" spans="1:11" x14ac:dyDescent="0.25">
      <c r="A60" s="29"/>
      <c r="B60" s="30"/>
      <c r="C60" s="30"/>
      <c r="D60" s="30"/>
      <c r="E60" s="30"/>
      <c r="F60" s="25"/>
      <c r="G60" s="29"/>
      <c r="H60" s="38">
        <f t="shared" si="3"/>
        <v>0</v>
      </c>
      <c r="I60" s="38">
        <f t="shared" si="4"/>
        <v>0</v>
      </c>
      <c r="J60" s="38">
        <f t="shared" si="5"/>
        <v>0</v>
      </c>
      <c r="K60" s="38">
        <f t="shared" si="6"/>
        <v>0</v>
      </c>
    </row>
    <row r="61" spans="1:11" s="1" customFormat="1" ht="15.75" thickBot="1" x14ac:dyDescent="0.3">
      <c r="A61" s="27" t="s">
        <v>91</v>
      </c>
      <c r="B61" s="33">
        <f>B59+B55</f>
        <v>970.59999999999991</v>
      </c>
      <c r="C61" s="33">
        <f>C59+C55</f>
        <v>967.9</v>
      </c>
      <c r="D61" s="33">
        <f>D59+D55</f>
        <v>1233.0999999999999</v>
      </c>
      <c r="E61" s="33">
        <f>E59+E55</f>
        <v>1304.3</v>
      </c>
      <c r="F61" s="26"/>
      <c r="G61" s="27" t="s">
        <v>91</v>
      </c>
      <c r="H61" s="38">
        <f t="shared" si="3"/>
        <v>0.78597457283990591</v>
      </c>
      <c r="I61" s="38">
        <f t="shared" si="4"/>
        <v>0.77326835503714941</v>
      </c>
      <c r="J61" s="38">
        <f t="shared" si="5"/>
        <v>0.94824669332513056</v>
      </c>
      <c r="K61" s="38">
        <f t="shared" si="6"/>
        <v>0.97744304556354911</v>
      </c>
    </row>
    <row r="62" spans="1:11" ht="15.75" thickTop="1" x14ac:dyDescent="0.25"/>
    <row r="64" spans="1:11" x14ac:dyDescent="0.25">
      <c r="A64" s="1" t="s">
        <v>92</v>
      </c>
    </row>
    <row r="65" spans="1:5" x14ac:dyDescent="0.25">
      <c r="A65" s="2" t="s">
        <v>93</v>
      </c>
      <c r="B65" s="34">
        <v>55.5</v>
      </c>
      <c r="C65" s="34">
        <v>65.3</v>
      </c>
      <c r="D65" s="34">
        <v>55.7</v>
      </c>
      <c r="E65" s="34">
        <v>51.4</v>
      </c>
    </row>
    <row r="66" spans="1:5" x14ac:dyDescent="0.25">
      <c r="A66" s="2" t="s">
        <v>94</v>
      </c>
      <c r="B66" s="2">
        <v>48</v>
      </c>
      <c r="C66" s="2">
        <v>47.3</v>
      </c>
      <c r="D66" s="2">
        <v>46.8</v>
      </c>
      <c r="E66" s="2">
        <v>46.2</v>
      </c>
    </row>
  </sheetData>
  <mergeCells count="4">
    <mergeCell ref="B4:E4"/>
    <mergeCell ref="B29:E29"/>
    <mergeCell ref="H4:K4"/>
    <mergeCell ref="H29:K29"/>
  </mergeCells>
  <phoneticPr fontId="1" type="noConversion"/>
  <pageMargins left="0.7" right="0.7" top="0.75" bottom="0.75" header="0.3" footer="0.3"/>
  <ignoredErrors>
    <ignoredError sqref="B35:E3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5"/>
  <sheetViews>
    <sheetView tabSelected="1" topLeftCell="A24" workbookViewId="0">
      <selection activeCell="E30" sqref="E30"/>
    </sheetView>
  </sheetViews>
  <sheetFormatPr defaultRowHeight="15" x14ac:dyDescent="0.25"/>
  <cols>
    <col min="1" max="1" width="52.5" customWidth="1"/>
    <col min="3" max="3" width="9.5" bestFit="1" customWidth="1"/>
    <col min="4" max="5" width="10.5" bestFit="1" customWidth="1"/>
  </cols>
  <sheetData>
    <row r="1" spans="1:5" x14ac:dyDescent="0.25">
      <c r="A1" s="16" t="s">
        <v>97</v>
      </c>
    </row>
    <row r="2" spans="1:5" x14ac:dyDescent="0.25">
      <c r="A2" t="s">
        <v>98</v>
      </c>
    </row>
    <row r="4" spans="1:5" x14ac:dyDescent="0.25">
      <c r="B4" s="16" t="s">
        <v>99</v>
      </c>
    </row>
    <row r="5" spans="1:5" x14ac:dyDescent="0.25">
      <c r="B5" s="16">
        <v>1999</v>
      </c>
      <c r="C5" s="16">
        <v>2000</v>
      </c>
      <c r="D5" s="16">
        <v>2001</v>
      </c>
      <c r="E5" s="16">
        <v>2002</v>
      </c>
    </row>
    <row r="6" spans="1:5" x14ac:dyDescent="0.25">
      <c r="A6" s="16" t="s">
        <v>100</v>
      </c>
    </row>
    <row r="7" spans="1:5" x14ac:dyDescent="0.25">
      <c r="A7" t="s">
        <v>101</v>
      </c>
      <c r="C7" s="37">
        <f>FinancialStatementModel!C20</f>
        <v>121.80000000000003</v>
      </c>
      <c r="D7" s="37">
        <f>FinancialStatementModel!D20</f>
        <v>132.70000000000013</v>
      </c>
      <c r="E7" s="37">
        <f>FinancialStatementModel!E20</f>
        <v>132.8000000000001</v>
      </c>
    </row>
    <row r="8" spans="1:5" x14ac:dyDescent="0.25">
      <c r="A8" t="s">
        <v>102</v>
      </c>
      <c r="C8" s="37">
        <f>FinancialStatementModel!C11</f>
        <v>52</v>
      </c>
      <c r="D8" s="37">
        <f>FinancialStatementModel!D11</f>
        <v>55.9</v>
      </c>
      <c r="E8" s="37">
        <f>FinancialStatementModel!E11</f>
        <v>75.2</v>
      </c>
    </row>
    <row r="9" spans="1:5" x14ac:dyDescent="0.25">
      <c r="A9" t="s">
        <v>103</v>
      </c>
      <c r="C9" s="37">
        <f>FinancialStatementModel!B32-FinancialStatementModel!C32</f>
        <v>-3.5</v>
      </c>
      <c r="D9" s="37">
        <f>FinancialStatementModel!C32-FinancialStatementModel!D32</f>
        <v>-4.3999999999999915</v>
      </c>
      <c r="E9" s="37">
        <f>FinancialStatementModel!D32-FinancialStatementModel!E32</f>
        <v>-12.799999999999997</v>
      </c>
    </row>
    <row r="10" spans="1:5" x14ac:dyDescent="0.25">
      <c r="A10" t="s">
        <v>104</v>
      </c>
      <c r="C10" s="37">
        <f>FinancialStatementModel!B33-FinancialStatementModel!C33</f>
        <v>1.5999999999999943</v>
      </c>
      <c r="D10" s="37">
        <f>FinancialStatementModel!C33-FinancialStatementModel!D33</f>
        <v>-6.9000000000000057</v>
      </c>
      <c r="E10" s="37">
        <f>FinancialStatementModel!D33-FinancialStatementModel!E33</f>
        <v>-1.8999999999999915</v>
      </c>
    </row>
    <row r="11" spans="1:5" x14ac:dyDescent="0.25">
      <c r="A11" t="s">
        <v>105</v>
      </c>
      <c r="C11" s="37">
        <f>FinancialStatementModel!B34-FinancialStatementModel!C34</f>
        <v>5.2999999999999972</v>
      </c>
      <c r="D11" s="37">
        <f>FinancialStatementModel!C34-FinancialStatementModel!D34</f>
        <v>-12.299999999999997</v>
      </c>
      <c r="E11" s="37">
        <f>FinancialStatementModel!D34-FinancialStatementModel!E34</f>
        <v>6.2000000000000028</v>
      </c>
    </row>
    <row r="12" spans="1:5" x14ac:dyDescent="0.25">
      <c r="A12" t="s">
        <v>106</v>
      </c>
      <c r="C12" s="37">
        <f>FinancialStatementModel!C47-FinancialStatementModel!B47</f>
        <v>-5.7000000000000028</v>
      </c>
      <c r="D12" s="37">
        <f>FinancialStatementModel!D47-FinancialStatementModel!C47</f>
        <v>-5.2999999999999972</v>
      </c>
      <c r="E12" s="37">
        <f>FinancialStatementModel!E47-FinancialStatementModel!D47</f>
        <v>8.7000000000000028</v>
      </c>
    </row>
    <row r="13" spans="1:5" x14ac:dyDescent="0.25">
      <c r="A13" t="s">
        <v>107</v>
      </c>
      <c r="C13" s="37">
        <f>FinancialStatementModel!C49-FinancialStatementModel!B49</f>
        <v>-28.200000000000003</v>
      </c>
      <c r="D13" s="37">
        <f>FinancialStatementModel!D49-FinancialStatementModel!C49</f>
        <v>48.3</v>
      </c>
      <c r="E13" s="37">
        <f>FinancialStatementModel!E49-FinancialStatementModel!D49</f>
        <v>-60.8</v>
      </c>
    </row>
    <row r="14" spans="1:5" x14ac:dyDescent="0.25">
      <c r="A14" t="s">
        <v>108</v>
      </c>
      <c r="C14" s="37">
        <f>FinancialStatementModel!C53-FinancialStatementModel!B53</f>
        <v>-2.6999999999999993</v>
      </c>
      <c r="D14" s="37">
        <f>FinancialStatementModel!D53-FinancialStatementModel!C53</f>
        <v>-4.6000000000000014</v>
      </c>
      <c r="E14" s="37">
        <f>FinancialStatementModel!E53-FinancialStatementModel!D53</f>
        <v>-2.3000000000000007</v>
      </c>
    </row>
    <row r="15" spans="1:5" x14ac:dyDescent="0.25">
      <c r="A15" t="s">
        <v>109</v>
      </c>
      <c r="C15" s="37">
        <f>FinancialStatementModel!C54-FinancialStatementModel!B54</f>
        <v>-20.5</v>
      </c>
      <c r="D15" s="37">
        <f>FinancialStatementModel!D54-FinancialStatementModel!C54</f>
        <v>34.900000000000006</v>
      </c>
      <c r="E15" s="37">
        <f>FinancialStatementModel!E54-FinancialStatementModel!D54</f>
        <v>-20.5</v>
      </c>
    </row>
    <row r="16" spans="1:5" x14ac:dyDescent="0.25">
      <c r="A16" s="16" t="s">
        <v>110</v>
      </c>
      <c r="C16" s="37">
        <f>SUM(C7:C15)</f>
        <v>120.10000000000002</v>
      </c>
      <c r="D16" s="37">
        <f>SUM(D7:D15)</f>
        <v>238.30000000000018</v>
      </c>
      <c r="E16" s="37">
        <f>SUM(E7:E15)</f>
        <v>124.60000000000008</v>
      </c>
    </row>
    <row r="17" spans="1:5" x14ac:dyDescent="0.25">
      <c r="C17" s="37"/>
      <c r="D17" s="37"/>
      <c r="E17" s="37"/>
    </row>
    <row r="18" spans="1:5" x14ac:dyDescent="0.25">
      <c r="A18" s="16" t="s">
        <v>111</v>
      </c>
      <c r="C18" s="37"/>
      <c r="D18" s="37"/>
      <c r="E18" s="37"/>
    </row>
    <row r="19" spans="1:5" x14ac:dyDescent="0.25">
      <c r="A19" t="s">
        <v>112</v>
      </c>
      <c r="C19" s="37">
        <f>-FinancialStatementModel!C37+FinancialStatementModel!B37</f>
        <v>-53.399999999999977</v>
      </c>
      <c r="D19" s="37">
        <f>-FinancialStatementModel!D37+FinancialStatementModel!C37</f>
        <v>-86.5</v>
      </c>
      <c r="E19" s="37">
        <f>-FinancialStatementModel!E37+FinancialStatementModel!D37</f>
        <v>-92.300000000000068</v>
      </c>
    </row>
    <row r="20" spans="1:5" x14ac:dyDescent="0.25">
      <c r="A20" s="24" t="s">
        <v>113</v>
      </c>
      <c r="C20" s="37">
        <f>-FinancialStatementModel!C41+FinancialStatementModel!B41</f>
        <v>-1.9000000000000057</v>
      </c>
      <c r="D20" s="37">
        <f>-FinancialStatementModel!D41+FinancialStatementModel!C41</f>
        <v>-201.9</v>
      </c>
      <c r="E20" s="37">
        <f>-FinancialStatementModel!E41+FinancialStatementModel!D41</f>
        <v>-49.300000000000011</v>
      </c>
    </row>
    <row r="21" spans="1:5" x14ac:dyDescent="0.25">
      <c r="A21" s="24" t="s">
        <v>114</v>
      </c>
      <c r="C21" s="37">
        <f>C19+C20</f>
        <v>-55.299999999999983</v>
      </c>
      <c r="D21" s="37">
        <f>D19+D20</f>
        <v>-288.39999999999998</v>
      </c>
      <c r="E21" s="37">
        <f>E19+E20</f>
        <v>-141.60000000000008</v>
      </c>
    </row>
    <row r="22" spans="1:5" x14ac:dyDescent="0.25">
      <c r="C22" s="37"/>
      <c r="D22" s="37"/>
      <c r="E22" s="37"/>
    </row>
    <row r="23" spans="1:5" x14ac:dyDescent="0.25">
      <c r="A23" s="16" t="s">
        <v>115</v>
      </c>
      <c r="C23" s="37"/>
      <c r="D23" s="37"/>
      <c r="E23" s="37"/>
    </row>
    <row r="24" spans="1:5" x14ac:dyDescent="0.25">
      <c r="A24" t="s">
        <v>116</v>
      </c>
      <c r="C24" s="37">
        <f>FinancialStatementModel!C48-FinancialStatementModel!B48</f>
        <v>-9.4000000000000021</v>
      </c>
      <c r="D24" s="37">
        <f>FinancialStatementModel!D48-FinancialStatementModel!C48</f>
        <v>50.099999999999994</v>
      </c>
      <c r="E24" s="37">
        <f>FinancialStatementModel!E48-FinancialStatementModel!D48</f>
        <v>30.5</v>
      </c>
    </row>
    <row r="25" spans="1:5" x14ac:dyDescent="0.25">
      <c r="A25" t="s">
        <v>117</v>
      </c>
      <c r="C25" s="37">
        <f>FinancialStatementModel!C52-FinancialStatementModel!B52</f>
        <v>-18.5</v>
      </c>
      <c r="D25" s="37">
        <f>FinancialStatementModel!D52-FinancialStatementModel!C52</f>
        <v>56.800000000000011</v>
      </c>
      <c r="E25" s="37">
        <f>FinancialStatementModel!E52-FinancialStatementModel!D52</f>
        <v>16.299999999999983</v>
      </c>
    </row>
    <row r="26" spans="1:5" x14ac:dyDescent="0.25">
      <c r="A26" t="s">
        <v>118</v>
      </c>
      <c r="C26" s="37" t="s">
        <v>124</v>
      </c>
      <c r="D26" s="37" t="s">
        <v>124</v>
      </c>
      <c r="E26" s="37" t="s">
        <v>124</v>
      </c>
    </row>
    <row r="27" spans="1:5" x14ac:dyDescent="0.25">
      <c r="A27" t="s">
        <v>119</v>
      </c>
      <c r="C27" s="37">
        <f>-FinancialStatementModel!C22</f>
        <v>-38.700000000000003</v>
      </c>
      <c r="D27" s="37">
        <f>-FinancialStatementModel!D22</f>
        <v>-39.799999999999997</v>
      </c>
      <c r="E27" s="37">
        <f>-FinancialStatementModel!E22</f>
        <v>-40.1</v>
      </c>
    </row>
    <row r="28" spans="1:5" x14ac:dyDescent="0.25">
      <c r="A28" t="s">
        <v>120</v>
      </c>
      <c r="C28" s="37">
        <f>SUM(C24:C27)</f>
        <v>-66.600000000000009</v>
      </c>
      <c r="D28" s="37">
        <f>SUM(D24:D27)</f>
        <v>67.100000000000009</v>
      </c>
      <c r="E28" s="37">
        <f>SUM(E24:E27)</f>
        <v>6.6999999999999815</v>
      </c>
    </row>
    <row r="29" spans="1:5" x14ac:dyDescent="0.25">
      <c r="C29" s="37"/>
      <c r="D29" s="37"/>
      <c r="E29" s="37"/>
    </row>
    <row r="30" spans="1:5" x14ac:dyDescent="0.25">
      <c r="A30" t="s">
        <v>121</v>
      </c>
      <c r="C30" s="37">
        <f>C16+C21+C28</f>
        <v>-1.7999999999999687</v>
      </c>
      <c r="D30" s="37">
        <f>D16+D21+D28</f>
        <v>17.000000000000213</v>
      </c>
      <c r="E30" s="37">
        <f>E16+E21+E28</f>
        <v>-10.300000000000018</v>
      </c>
    </row>
    <row r="31" spans="1:5" x14ac:dyDescent="0.25">
      <c r="C31" s="37"/>
      <c r="D31" s="37"/>
      <c r="E31" s="37"/>
    </row>
    <row r="32" spans="1:5" x14ac:dyDescent="0.25">
      <c r="C32" s="37"/>
      <c r="D32" s="37"/>
      <c r="E32" s="37"/>
    </row>
    <row r="33" spans="1:5" x14ac:dyDescent="0.25">
      <c r="A33" t="s">
        <v>122</v>
      </c>
      <c r="C33" s="37">
        <f>FinancialStatementModel!B31</f>
        <v>25.6</v>
      </c>
      <c r="D33" s="37">
        <f>FinancialStatementModel!C31</f>
        <v>23</v>
      </c>
      <c r="E33" s="37">
        <f>FinancialStatementModel!D31</f>
        <v>32.1</v>
      </c>
    </row>
    <row r="34" spans="1:5" x14ac:dyDescent="0.25">
      <c r="A34" t="s">
        <v>123</v>
      </c>
      <c r="C34" s="37">
        <f>FinancialStatementModel!C31</f>
        <v>23</v>
      </c>
      <c r="D34" s="37">
        <f>FinancialStatementModel!D31</f>
        <v>32.1</v>
      </c>
      <c r="E34" s="37">
        <f>FinancialStatementModel!E31</f>
        <v>28.4</v>
      </c>
    </row>
    <row r="35" spans="1:5" x14ac:dyDescent="0.25">
      <c r="A35" t="s">
        <v>121</v>
      </c>
      <c r="C35" s="37">
        <f>C34-C33</f>
        <v>-2.6000000000000014</v>
      </c>
      <c r="D35" s="37">
        <f>D34-D33</f>
        <v>9.1000000000000014</v>
      </c>
      <c r="E35" s="37">
        <f>E34-E33</f>
        <v>-3.7000000000000028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10</vt:i4>
      </vt:variant>
    </vt:vector>
  </HeadingPairs>
  <TitlesOfParts>
    <vt:vector size="15" baseType="lpstr">
      <vt:lpstr>Fig7.6</vt:lpstr>
      <vt:lpstr>Fig7.7</vt:lpstr>
      <vt:lpstr>LoanAmort</vt:lpstr>
      <vt:lpstr>FinancialStatementModel</vt:lpstr>
      <vt:lpstr>CashFlowStatements</vt:lpstr>
      <vt:lpstr>A</vt:lpstr>
      <vt:lpstr>ln_1</vt:lpstr>
      <vt:lpstr>ln_2</vt:lpstr>
      <vt:lpstr>ln_3</vt:lpstr>
      <vt:lpstr>n</vt:lpstr>
      <vt:lpstr>P</vt:lpstr>
      <vt:lpstr>rr</vt:lpstr>
      <vt:lpstr>rr_1</vt:lpstr>
      <vt:lpstr>rr_2</vt:lpstr>
      <vt:lpstr>rr_3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2013-11-11T06:27:17Z</dcterms:created>
  <dcterms:modified xsi:type="dcterms:W3CDTF">2013-11-13T06:29:31Z</dcterms:modified>
</cp:coreProperties>
</file>