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CDB\GGDM\"/>
    </mc:Choice>
  </mc:AlternateContent>
  <xr:revisionPtr revIDLastSave="0" documentId="8_{AF007F9D-8968-4D5A-9C0B-2D4F5DCE78FD}" xr6:coauthVersionLast="45" xr6:coauthVersionMax="45" xr10:uidLastSave="{00000000-0000-0000-0000-000000000000}"/>
  <bookViews>
    <workbookView xWindow="-96" yWindow="-96" windowWidth="23232" windowHeight="12552" activeTab="1" xr2:uid="{DA099A16-D070-4315-8D58-2AEBD9546082}"/>
  </bookViews>
  <sheets>
    <sheet name="GGDMEnumerations_CMIX trimmed" sheetId="28" r:id="rId1"/>
    <sheet name="FACC Mapped" sheetId="9" r:id="rId2"/>
    <sheet name="Work with Mapped" sheetId="35" r:id="rId3"/>
    <sheet name="TDS-GGDM-CDB from Holly" sheetId="16" r:id="rId4"/>
    <sheet name="CDB_GGDM Crosswalk" sheetId="13" r:id="rId5"/>
    <sheet name="Common" sheetId="8" r:id="rId6"/>
    <sheet name="Road" sheetId="29" r:id="rId7"/>
    <sheet name="BOTY" sheetId="30" r:id="rId8"/>
    <sheet name="AHA" sheetId="34" r:id="rId9"/>
    <sheet name="TRF Table" sheetId="36" r:id="rId10"/>
    <sheet name="Bridge Opening" sheetId="37" r:id="rId11"/>
    <sheet name="Bridge Structure" sheetId="38" r:id="rId12"/>
    <sheet name="Route Type Mappings for Road" sheetId="39" r:id="rId13"/>
    <sheet name="Direct Mappings" sheetId="40" r:id="rId14"/>
  </sheets>
  <definedNames>
    <definedName name="_xlnm._FilterDatabase" localSheetId="0" hidden="1">'GGDMEnumerations_CMIX trimmed'!$A$2:$A$737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49" i="35" l="1"/>
  <c r="C348" i="35"/>
  <c r="C625" i="35"/>
  <c r="C624" i="35"/>
  <c r="C623" i="35"/>
  <c r="C622" i="35"/>
  <c r="C621" i="35"/>
  <c r="C620" i="35"/>
  <c r="C619" i="35"/>
  <c r="C618" i="35"/>
  <c r="C617" i="35"/>
  <c r="C616" i="35"/>
  <c r="C615" i="35"/>
  <c r="C614" i="35"/>
  <c r="C613" i="35"/>
  <c r="C612" i="35"/>
  <c r="C611" i="35"/>
  <c r="C610" i="35"/>
  <c r="C609" i="35"/>
  <c r="C608" i="35"/>
  <c r="C560" i="35"/>
  <c r="C607" i="35"/>
  <c r="C606" i="35"/>
  <c r="C605" i="35"/>
  <c r="C604" i="35"/>
  <c r="C603" i="35"/>
  <c r="C602" i="35"/>
  <c r="C601" i="35"/>
  <c r="C600" i="35"/>
  <c r="C599" i="35"/>
  <c r="C598" i="35"/>
  <c r="C597" i="35"/>
  <c r="C596" i="35"/>
  <c r="C595" i="35"/>
  <c r="C594" i="35"/>
  <c r="C559" i="35"/>
  <c r="C2" i="35"/>
  <c r="C593" i="35"/>
  <c r="C592" i="35"/>
  <c r="C591" i="35"/>
  <c r="C590" i="35"/>
  <c r="C589" i="35"/>
  <c r="C588" i="35"/>
  <c r="C587" i="35"/>
  <c r="C586" i="35"/>
  <c r="C585" i="35"/>
  <c r="C584" i="35"/>
  <c r="C583" i="35"/>
  <c r="C582" i="35"/>
  <c r="C581" i="35"/>
  <c r="C580" i="35"/>
  <c r="C579" i="35"/>
  <c r="C578" i="35"/>
  <c r="C577" i="35"/>
  <c r="C576" i="35"/>
  <c r="C575" i="35"/>
  <c r="C574" i="35"/>
  <c r="C573" i="35"/>
  <c r="C572" i="35"/>
  <c r="C571" i="35"/>
  <c r="C570" i="35"/>
  <c r="C569" i="35"/>
  <c r="C568" i="35"/>
  <c r="C567" i="35"/>
  <c r="C566" i="35"/>
  <c r="C565" i="35"/>
  <c r="C564" i="35"/>
  <c r="C563" i="35"/>
  <c r="C562" i="35"/>
  <c r="C561" i="35"/>
  <c r="C558" i="35"/>
  <c r="C557" i="35"/>
  <c r="C556" i="35"/>
  <c r="C555" i="35"/>
  <c r="C554" i="35"/>
  <c r="C553" i="35"/>
  <c r="C552" i="35"/>
  <c r="C551" i="35"/>
  <c r="C550" i="35"/>
  <c r="C549" i="35"/>
  <c r="C548" i="35"/>
  <c r="C547" i="35"/>
  <c r="C546" i="35"/>
  <c r="C545" i="35"/>
  <c r="C544" i="35"/>
  <c r="C543" i="35"/>
  <c r="C542" i="35"/>
  <c r="C541" i="35"/>
  <c r="C540" i="35"/>
  <c r="C539" i="35"/>
  <c r="C538" i="35"/>
  <c r="C537" i="35"/>
  <c r="C536" i="35"/>
  <c r="C535" i="35"/>
  <c r="C534" i="35"/>
  <c r="C533" i="35"/>
  <c r="C532" i="35"/>
  <c r="C531" i="35"/>
  <c r="C530" i="35"/>
  <c r="C529" i="35"/>
  <c r="C528" i="35"/>
  <c r="C527" i="35"/>
  <c r="C526" i="35"/>
  <c r="C525" i="35"/>
  <c r="C524" i="35"/>
  <c r="C523" i="35"/>
  <c r="C522" i="35"/>
  <c r="C521" i="35"/>
  <c r="C520" i="35"/>
  <c r="C519" i="35"/>
  <c r="C518" i="35"/>
  <c r="C517" i="35"/>
  <c r="C516" i="35"/>
  <c r="C515" i="35"/>
  <c r="C514" i="35"/>
  <c r="C513" i="35"/>
  <c r="C512" i="35"/>
  <c r="C511" i="35"/>
  <c r="C510" i="35"/>
  <c r="C509" i="35"/>
  <c r="C508" i="35"/>
  <c r="C507" i="35"/>
  <c r="C506" i="35"/>
  <c r="C505" i="35"/>
  <c r="C504" i="35"/>
  <c r="C503" i="35"/>
  <c r="C502" i="35"/>
  <c r="C501" i="35"/>
  <c r="C500" i="35"/>
  <c r="C499" i="35"/>
  <c r="C498" i="35"/>
  <c r="C497" i="35"/>
  <c r="C496" i="35"/>
  <c r="C495" i="35"/>
  <c r="C494" i="35"/>
  <c r="C493" i="35"/>
  <c r="C492" i="35"/>
  <c r="C491" i="35"/>
  <c r="C490" i="35"/>
  <c r="C489" i="35"/>
  <c r="C488" i="35"/>
  <c r="C487" i="35"/>
  <c r="C486" i="35"/>
  <c r="C485" i="35"/>
  <c r="C484" i="35"/>
  <c r="C483" i="35"/>
  <c r="C482" i="35"/>
  <c r="C481" i="35"/>
  <c r="C480" i="35"/>
  <c r="C479" i="35"/>
  <c r="C478" i="35"/>
  <c r="C477" i="35"/>
  <c r="C476" i="35"/>
  <c r="C475" i="35"/>
  <c r="C474" i="35"/>
  <c r="C473" i="35"/>
  <c r="C472" i="35"/>
  <c r="C471" i="35"/>
  <c r="C470" i="35"/>
  <c r="C469" i="35"/>
  <c r="C468" i="35"/>
  <c r="C467" i="35"/>
  <c r="C466" i="35"/>
  <c r="C465" i="35"/>
  <c r="C464" i="35"/>
  <c r="C463" i="35"/>
  <c r="C462" i="35"/>
  <c r="C461" i="35"/>
  <c r="C460" i="35"/>
  <c r="C459" i="35"/>
  <c r="C458" i="35"/>
  <c r="C457" i="35"/>
  <c r="C456" i="35"/>
  <c r="C455" i="35"/>
  <c r="C454" i="35"/>
  <c r="C453" i="35"/>
  <c r="C452" i="35"/>
  <c r="C451" i="35"/>
  <c r="C450" i="35"/>
  <c r="C449" i="35"/>
  <c r="C448" i="35"/>
  <c r="C447" i="35"/>
  <c r="C446" i="35"/>
  <c r="C445" i="35"/>
  <c r="C444" i="35"/>
  <c r="C443" i="35"/>
  <c r="C442" i="35"/>
  <c r="C441" i="35"/>
  <c r="C440" i="35"/>
  <c r="C439" i="35"/>
  <c r="C438" i="35"/>
  <c r="C437" i="35"/>
  <c r="C436" i="35"/>
  <c r="C435" i="35"/>
  <c r="C434" i="35"/>
  <c r="C433" i="35"/>
  <c r="C432" i="35"/>
  <c r="C431" i="35"/>
  <c r="C430" i="35"/>
  <c r="C429" i="35"/>
  <c r="C428" i="35"/>
  <c r="C427" i="35"/>
  <c r="C426" i="35"/>
  <c r="C425" i="35"/>
  <c r="C424" i="35"/>
  <c r="C423" i="35"/>
  <c r="C422" i="35"/>
  <c r="C421" i="35"/>
  <c r="C420" i="35"/>
  <c r="C419" i="35"/>
  <c r="C418" i="35"/>
  <c r="C417" i="35"/>
  <c r="C416" i="35"/>
  <c r="C415" i="35"/>
  <c r="C414" i="35"/>
  <c r="C413" i="35"/>
  <c r="C412" i="35"/>
  <c r="C411" i="35"/>
  <c r="C410" i="35"/>
  <c r="C409" i="35"/>
  <c r="C408" i="35"/>
  <c r="C407" i="35"/>
  <c r="C406" i="35"/>
  <c r="C405" i="35"/>
  <c r="C404" i="35"/>
  <c r="C403" i="35"/>
  <c r="C402" i="35"/>
  <c r="C401" i="35"/>
  <c r="C400" i="35"/>
  <c r="C399" i="35"/>
  <c r="C398" i="35"/>
  <c r="C397" i="35"/>
  <c r="C396" i="35"/>
  <c r="C395" i="35"/>
  <c r="C394" i="35"/>
  <c r="C393" i="35"/>
  <c r="C392" i="35"/>
  <c r="C391" i="35"/>
  <c r="C390" i="35"/>
  <c r="C389" i="35"/>
  <c r="C388" i="35"/>
  <c r="C387" i="35"/>
  <c r="C386" i="35"/>
  <c r="C385" i="35"/>
  <c r="C384" i="35"/>
  <c r="C383" i="35"/>
  <c r="C382" i="35"/>
  <c r="C381" i="35"/>
  <c r="C380" i="35"/>
  <c r="C379" i="35"/>
  <c r="C378" i="35"/>
  <c r="C377" i="35"/>
  <c r="C376" i="35"/>
  <c r="C375" i="35"/>
  <c r="C374" i="35"/>
  <c r="C373" i="35"/>
  <c r="C372" i="35"/>
  <c r="C371" i="35"/>
  <c r="C370" i="35"/>
  <c r="C369" i="35"/>
  <c r="C368" i="35"/>
  <c r="C367" i="35"/>
  <c r="C366" i="35"/>
  <c r="C365" i="35"/>
  <c r="C364" i="35"/>
  <c r="C363" i="35"/>
  <c r="C362" i="35"/>
  <c r="C361" i="35"/>
  <c r="C360" i="35"/>
  <c r="C359" i="35"/>
  <c r="C358" i="35"/>
  <c r="C357" i="35"/>
  <c r="C356" i="35"/>
  <c r="C355" i="35"/>
  <c r="C354" i="35"/>
  <c r="C353" i="35"/>
  <c r="C352" i="35"/>
  <c r="C351" i="35"/>
  <c r="C350" i="35"/>
  <c r="C347" i="35"/>
  <c r="C346" i="35"/>
  <c r="C345" i="35"/>
  <c r="C344" i="35"/>
  <c r="C343" i="35"/>
  <c r="C342" i="35"/>
  <c r="C341" i="35"/>
  <c r="C340" i="35"/>
  <c r="C339" i="35"/>
  <c r="C338" i="35"/>
  <c r="C337" i="35"/>
  <c r="C336" i="35"/>
  <c r="C335" i="35"/>
  <c r="C334" i="35"/>
  <c r="C333" i="35"/>
  <c r="C332" i="35"/>
  <c r="C331" i="35"/>
  <c r="C330" i="35"/>
  <c r="C329" i="35"/>
  <c r="C328" i="35"/>
  <c r="C327" i="35"/>
  <c r="C326" i="35"/>
  <c r="C325" i="35"/>
  <c r="C324" i="35"/>
  <c r="C323" i="35"/>
  <c r="C322" i="35"/>
  <c r="C321" i="35"/>
  <c r="C320" i="35"/>
  <c r="C319" i="35"/>
  <c r="C318" i="35"/>
  <c r="C317" i="35"/>
  <c r="C316" i="35"/>
  <c r="C315" i="35"/>
  <c r="C314" i="35"/>
  <c r="C313" i="35"/>
  <c r="C312" i="35"/>
  <c r="C311" i="35"/>
  <c r="C310" i="35"/>
  <c r="C309" i="35"/>
  <c r="C308" i="35"/>
  <c r="C307" i="35"/>
  <c r="C306" i="35"/>
  <c r="C305" i="35"/>
  <c r="C304" i="35"/>
  <c r="C303" i="35"/>
  <c r="C302" i="35"/>
  <c r="C301" i="35"/>
  <c r="C300" i="35"/>
  <c r="C299" i="35"/>
  <c r="C298" i="35"/>
  <c r="C297" i="35"/>
  <c r="C296" i="35"/>
  <c r="C295" i="35"/>
  <c r="C294" i="35"/>
  <c r="C293" i="35"/>
  <c r="C292" i="35"/>
  <c r="C291" i="35"/>
  <c r="C290" i="35"/>
  <c r="C289" i="35"/>
  <c r="C288" i="35"/>
  <c r="C287" i="35"/>
  <c r="C286" i="35"/>
  <c r="C285" i="35"/>
  <c r="C284" i="35"/>
  <c r="C283" i="35"/>
  <c r="C282" i="35"/>
  <c r="C281" i="35"/>
  <c r="C280" i="35"/>
  <c r="C279" i="35"/>
  <c r="C278" i="35"/>
  <c r="C277" i="35"/>
  <c r="C276" i="35"/>
  <c r="C275" i="35"/>
  <c r="C274" i="35"/>
  <c r="C273" i="35"/>
  <c r="C272" i="35"/>
  <c r="C271" i="35"/>
  <c r="C270" i="35"/>
  <c r="C269" i="35"/>
  <c r="C268" i="35"/>
  <c r="C267" i="35"/>
  <c r="C266" i="35"/>
  <c r="C265" i="35"/>
  <c r="C264" i="35"/>
  <c r="C263" i="35"/>
  <c r="C262" i="35"/>
  <c r="C261" i="35"/>
  <c r="C260" i="35"/>
  <c r="C259" i="35"/>
  <c r="C258" i="35"/>
  <c r="C257" i="35"/>
  <c r="C256" i="35"/>
  <c r="C255" i="35"/>
  <c r="C254" i="35"/>
  <c r="C253" i="35"/>
  <c r="C252" i="35"/>
  <c r="C251" i="35"/>
  <c r="C250" i="35"/>
  <c r="C249" i="35"/>
  <c r="C248" i="35"/>
  <c r="C247" i="35"/>
  <c r="C246" i="35"/>
  <c r="C245" i="35"/>
  <c r="C244" i="35"/>
  <c r="C243" i="35"/>
  <c r="C242" i="35"/>
  <c r="C241" i="35"/>
  <c r="C240" i="35"/>
  <c r="C239" i="35"/>
  <c r="C238" i="35"/>
  <c r="C237" i="35"/>
  <c r="C236" i="35"/>
  <c r="C235" i="35"/>
  <c r="C234" i="35"/>
  <c r="C233" i="35"/>
  <c r="C232" i="35"/>
  <c r="C231" i="35"/>
  <c r="C230" i="35"/>
  <c r="C229" i="35"/>
  <c r="C228" i="35"/>
  <c r="C227" i="35"/>
  <c r="C226" i="35"/>
  <c r="C225" i="35"/>
  <c r="C224" i="35"/>
  <c r="C223" i="35"/>
  <c r="C222" i="35"/>
  <c r="C221" i="35"/>
  <c r="C220" i="35"/>
  <c r="C219" i="35"/>
  <c r="C218" i="35"/>
  <c r="C217" i="35"/>
  <c r="C216" i="35"/>
  <c r="C215" i="35"/>
  <c r="C214" i="35"/>
  <c r="C213" i="35"/>
  <c r="C212" i="35"/>
  <c r="C211" i="35"/>
  <c r="C210" i="35"/>
  <c r="C209" i="35"/>
  <c r="C208" i="35"/>
  <c r="C207" i="35"/>
  <c r="C206" i="35"/>
  <c r="C205" i="35"/>
  <c r="C204" i="35"/>
  <c r="C203" i="35"/>
  <c r="C202" i="35"/>
  <c r="C201" i="35"/>
  <c r="C200" i="35"/>
  <c r="C199" i="35"/>
  <c r="C198" i="35"/>
  <c r="C197" i="35"/>
  <c r="C196" i="35"/>
  <c r="C195" i="35"/>
  <c r="C194" i="35"/>
  <c r="C193" i="35"/>
  <c r="C192" i="35"/>
  <c r="C191" i="35"/>
  <c r="C190" i="35"/>
  <c r="C189" i="35"/>
  <c r="C188" i="35"/>
  <c r="C187" i="35"/>
  <c r="C186" i="35"/>
  <c r="C185" i="35"/>
  <c r="C184" i="35"/>
  <c r="C183" i="35"/>
  <c r="C182" i="35"/>
  <c r="C181" i="35"/>
  <c r="C180" i="35"/>
  <c r="C179" i="35"/>
  <c r="C178" i="35"/>
  <c r="C177" i="35"/>
  <c r="C176" i="35"/>
  <c r="C175" i="35"/>
  <c r="C174" i="35"/>
  <c r="C173" i="35"/>
  <c r="C172" i="35"/>
  <c r="C171" i="35"/>
  <c r="C170" i="35"/>
  <c r="C169" i="35"/>
  <c r="C168" i="35"/>
  <c r="C167" i="35"/>
  <c r="C166" i="35"/>
  <c r="C165" i="35"/>
  <c r="C164" i="35"/>
  <c r="C163" i="35"/>
  <c r="C162" i="35"/>
  <c r="C161" i="35"/>
  <c r="C160" i="35"/>
  <c r="C159" i="35"/>
  <c r="C158" i="35"/>
  <c r="C157" i="35"/>
  <c r="C156" i="35"/>
  <c r="C155" i="35"/>
  <c r="C154" i="35"/>
  <c r="C153" i="35"/>
  <c r="C152" i="35"/>
  <c r="C151" i="35"/>
  <c r="C150" i="35"/>
  <c r="C149" i="35"/>
  <c r="C148" i="35"/>
  <c r="C147" i="35"/>
  <c r="C146" i="35"/>
  <c r="C145" i="35"/>
  <c r="C144" i="35"/>
  <c r="C143" i="35"/>
  <c r="C142" i="35"/>
  <c r="C141" i="35"/>
  <c r="C140" i="35"/>
  <c r="C139" i="35"/>
  <c r="C138" i="35"/>
  <c r="C137" i="35"/>
  <c r="C136" i="35"/>
  <c r="C135" i="35"/>
  <c r="C134" i="35"/>
  <c r="C133" i="35"/>
  <c r="C132" i="35"/>
  <c r="C131" i="35"/>
  <c r="C130" i="35"/>
  <c r="C129" i="35"/>
  <c r="C128" i="35"/>
  <c r="C127" i="35"/>
  <c r="C126" i="35"/>
  <c r="C125" i="35"/>
  <c r="C124" i="35"/>
  <c r="C123" i="35"/>
  <c r="C122" i="35"/>
  <c r="C121" i="35"/>
  <c r="C120" i="35"/>
  <c r="C119" i="35"/>
  <c r="C118" i="35"/>
  <c r="C117" i="35"/>
  <c r="C116" i="35"/>
  <c r="C115" i="35"/>
  <c r="C114" i="35"/>
  <c r="C113" i="35"/>
  <c r="C112" i="35"/>
  <c r="C111" i="35"/>
  <c r="C110" i="35"/>
  <c r="C109" i="35"/>
  <c r="C108" i="35"/>
  <c r="C107" i="35"/>
  <c r="C106" i="35"/>
  <c r="C105" i="35"/>
  <c r="C104" i="35"/>
  <c r="C103" i="35"/>
  <c r="C102" i="35"/>
  <c r="C101" i="35"/>
  <c r="C100" i="35"/>
  <c r="C99" i="35"/>
  <c r="C98" i="35"/>
  <c r="C97" i="35"/>
  <c r="C96" i="35"/>
  <c r="C95" i="35"/>
  <c r="C94" i="35"/>
  <c r="C93" i="35"/>
  <c r="C92" i="35"/>
  <c r="C91" i="35"/>
  <c r="C90" i="35"/>
  <c r="C89" i="35"/>
  <c r="C88" i="35"/>
  <c r="C87" i="35"/>
  <c r="C86" i="35"/>
  <c r="C85" i="35"/>
  <c r="C84" i="35"/>
  <c r="C83" i="35"/>
  <c r="C82" i="35"/>
  <c r="C81" i="35"/>
  <c r="C80" i="35"/>
  <c r="C79" i="35"/>
  <c r="C78" i="35"/>
  <c r="C77" i="35"/>
  <c r="C76" i="35"/>
  <c r="C75" i="35"/>
  <c r="C74" i="35"/>
  <c r="C73" i="35"/>
  <c r="C72" i="35"/>
  <c r="C71" i="35"/>
  <c r="C70" i="35"/>
  <c r="C69" i="35"/>
  <c r="C68" i="35"/>
  <c r="C67" i="35"/>
  <c r="C66" i="35"/>
  <c r="C65" i="35"/>
  <c r="C64" i="35"/>
  <c r="C63" i="35"/>
  <c r="C62" i="35"/>
  <c r="C61" i="35"/>
  <c r="C60" i="35"/>
  <c r="C59" i="35"/>
  <c r="C58" i="35"/>
  <c r="C57" i="35"/>
  <c r="C56" i="35"/>
  <c r="C55" i="35"/>
  <c r="C54" i="35"/>
  <c r="C53" i="35"/>
  <c r="C52" i="35"/>
  <c r="C51" i="35"/>
  <c r="C50" i="35"/>
  <c r="C49" i="35"/>
  <c r="C48" i="35"/>
  <c r="C47" i="35"/>
  <c r="C46" i="35"/>
  <c r="C45" i="35"/>
  <c r="C44" i="35"/>
  <c r="C43" i="35"/>
  <c r="C42" i="35"/>
  <c r="C41" i="35"/>
  <c r="C40" i="35"/>
  <c r="C39" i="35"/>
  <c r="C38" i="35"/>
  <c r="C37" i="35"/>
  <c r="C36" i="35"/>
  <c r="C35" i="35"/>
  <c r="C34" i="35"/>
  <c r="C33" i="35"/>
  <c r="C32" i="35"/>
  <c r="C31" i="35"/>
  <c r="C30" i="35"/>
  <c r="C29" i="35"/>
  <c r="C28" i="35"/>
  <c r="C27" i="35"/>
  <c r="C26" i="35"/>
  <c r="C25" i="35"/>
  <c r="C24" i="35"/>
  <c r="C23" i="35"/>
  <c r="C22" i="35"/>
  <c r="C21" i="35"/>
  <c r="C20" i="35"/>
  <c r="C19" i="35"/>
  <c r="C18" i="35"/>
  <c r="C17" i="35"/>
  <c r="C16" i="35"/>
  <c r="C15" i="35"/>
  <c r="C14" i="35"/>
  <c r="C13" i="35"/>
  <c r="C12" i="35"/>
  <c r="C11" i="35"/>
  <c r="C10" i="35"/>
  <c r="C9" i="35"/>
  <c r="C8" i="35"/>
  <c r="C7" i="35"/>
  <c r="C6" i="35"/>
  <c r="C5" i="35"/>
  <c r="C4" i="35"/>
  <c r="C3" i="35"/>
  <c r="B460" i="9" l="1"/>
  <c r="B341" i="9"/>
  <c r="L2" i="30" l="1"/>
  <c r="K2" i="30"/>
  <c r="H2" i="30"/>
  <c r="F2" i="30"/>
  <c r="E2" i="30"/>
  <c r="B205" i="9" l="1"/>
  <c r="B243" i="9" l="1"/>
  <c r="B55" i="9" l="1"/>
  <c r="B340" i="9"/>
  <c r="B625" i="9"/>
  <c r="B624" i="9"/>
  <c r="B623" i="9"/>
  <c r="B622" i="9"/>
  <c r="B621" i="9"/>
  <c r="B620" i="9"/>
  <c r="B619" i="9"/>
  <c r="B618" i="9"/>
  <c r="B617" i="9"/>
  <c r="B616" i="9"/>
  <c r="B615" i="9"/>
  <c r="B614" i="9"/>
  <c r="B613" i="9"/>
  <c r="B612" i="9"/>
  <c r="B611" i="9"/>
  <c r="B610" i="9"/>
  <c r="B609" i="9"/>
  <c r="B608" i="9"/>
  <c r="B607" i="9"/>
  <c r="B606" i="9"/>
  <c r="B605" i="9"/>
  <c r="B604" i="9"/>
  <c r="B603" i="9"/>
  <c r="B602" i="9"/>
  <c r="B601" i="9"/>
  <c r="B600" i="9"/>
  <c r="B599" i="9"/>
  <c r="B598" i="9"/>
  <c r="B597" i="9"/>
  <c r="B596" i="9"/>
  <c r="B595" i="9"/>
  <c r="B594" i="9"/>
  <c r="B593" i="9"/>
  <c r="B592" i="9"/>
  <c r="B591" i="9"/>
  <c r="B590" i="9"/>
  <c r="B589" i="9"/>
  <c r="B588" i="9"/>
  <c r="B587" i="9"/>
  <c r="B586" i="9"/>
  <c r="B585" i="9"/>
  <c r="B584" i="9"/>
  <c r="B583" i="9"/>
  <c r="B582" i="9"/>
  <c r="B581" i="9"/>
  <c r="B580" i="9"/>
  <c r="B579" i="9"/>
  <c r="B578" i="9"/>
  <c r="B577" i="9"/>
  <c r="B576" i="9"/>
  <c r="B575" i="9"/>
  <c r="B574" i="9"/>
  <c r="B573" i="9"/>
  <c r="B572" i="9"/>
  <c r="B571" i="9"/>
  <c r="B570" i="9"/>
  <c r="B569" i="9"/>
  <c r="B568" i="9"/>
  <c r="B567" i="9"/>
  <c r="B566" i="9"/>
  <c r="B565" i="9"/>
  <c r="B564" i="9"/>
  <c r="B563" i="9"/>
  <c r="B562" i="9"/>
  <c r="B561" i="9"/>
  <c r="B560" i="9"/>
  <c r="B559" i="9"/>
  <c r="B558" i="9"/>
  <c r="B557" i="9"/>
  <c r="B556" i="9"/>
  <c r="B555" i="9"/>
  <c r="B554" i="9"/>
  <c r="B553" i="9"/>
  <c r="B552" i="9"/>
  <c r="B551" i="9"/>
  <c r="B550" i="9"/>
  <c r="B549" i="9"/>
  <c r="B548" i="9"/>
  <c r="B547" i="9"/>
  <c r="B546" i="9"/>
  <c r="B545" i="9"/>
  <c r="B544" i="9"/>
  <c r="B543" i="9"/>
  <c r="B542" i="9"/>
  <c r="B541" i="9"/>
  <c r="B540" i="9"/>
  <c r="B539" i="9"/>
  <c r="B538" i="9"/>
  <c r="B537" i="9"/>
  <c r="B536" i="9"/>
  <c r="B535" i="9"/>
  <c r="B534" i="9"/>
  <c r="B533" i="9"/>
  <c r="B532" i="9"/>
  <c r="B531" i="9"/>
  <c r="B530" i="9"/>
  <c r="B529" i="9"/>
  <c r="B528" i="9"/>
  <c r="B527" i="9"/>
  <c r="B526" i="9"/>
  <c r="B525" i="9"/>
  <c r="B524" i="9"/>
  <c r="B523" i="9"/>
  <c r="B522" i="9"/>
  <c r="B521" i="9"/>
  <c r="B520" i="9"/>
  <c r="B519" i="9"/>
  <c r="B518" i="9"/>
  <c r="B517" i="9"/>
  <c r="B516" i="9"/>
  <c r="B515" i="9"/>
  <c r="B514" i="9"/>
  <c r="B513" i="9"/>
  <c r="B512" i="9"/>
  <c r="B511" i="9"/>
  <c r="B510" i="9"/>
  <c r="B509" i="9"/>
  <c r="B508" i="9"/>
  <c r="B507" i="9"/>
  <c r="B506" i="9"/>
  <c r="B505" i="9"/>
  <c r="B504" i="9"/>
  <c r="B503" i="9"/>
  <c r="B502" i="9"/>
  <c r="B501" i="9"/>
  <c r="B500" i="9"/>
  <c r="B499" i="9"/>
  <c r="B498" i="9"/>
  <c r="B497" i="9"/>
  <c r="B496" i="9"/>
  <c r="B495" i="9"/>
  <c r="B494" i="9"/>
  <c r="B493" i="9"/>
  <c r="B492" i="9"/>
  <c r="B491" i="9"/>
  <c r="B490" i="9"/>
  <c r="B489" i="9"/>
  <c r="B488" i="9"/>
  <c r="B487" i="9"/>
  <c r="B486" i="9"/>
  <c r="B485" i="9"/>
  <c r="B484" i="9"/>
  <c r="B483" i="9"/>
  <c r="B482" i="9"/>
  <c r="B481" i="9"/>
  <c r="B480" i="9"/>
  <c r="B479" i="9"/>
  <c r="B478" i="9"/>
  <c r="B477" i="9"/>
  <c r="B476" i="9"/>
  <c r="B475" i="9"/>
  <c r="B474" i="9"/>
  <c r="B473" i="9"/>
  <c r="B472" i="9"/>
  <c r="B471" i="9"/>
  <c r="B470" i="9"/>
  <c r="B469" i="9"/>
  <c r="B468" i="9"/>
  <c r="B467" i="9"/>
  <c r="B466" i="9"/>
  <c r="B465" i="9"/>
  <c r="B464" i="9"/>
  <c r="B463" i="9"/>
  <c r="B462" i="9"/>
  <c r="B461" i="9"/>
  <c r="B459" i="9"/>
  <c r="B458" i="9"/>
  <c r="B457" i="9"/>
  <c r="B456" i="9"/>
  <c r="B455" i="9"/>
  <c r="B454" i="9"/>
  <c r="B453" i="9"/>
  <c r="B452" i="9"/>
  <c r="B451" i="9"/>
  <c r="B450" i="9"/>
  <c r="B449" i="9"/>
  <c r="B448" i="9"/>
  <c r="B447" i="9"/>
  <c r="B446" i="9"/>
  <c r="B445" i="9"/>
  <c r="B444" i="9"/>
  <c r="B443" i="9"/>
  <c r="B442" i="9"/>
  <c r="B441" i="9"/>
  <c r="B440" i="9"/>
  <c r="B439" i="9"/>
  <c r="B438" i="9"/>
  <c r="B437" i="9"/>
  <c r="B436" i="9"/>
  <c r="B435" i="9"/>
  <c r="B434" i="9"/>
  <c r="B433" i="9"/>
  <c r="B432" i="9"/>
  <c r="B431" i="9"/>
  <c r="B430" i="9"/>
  <c r="B429" i="9"/>
  <c r="B428" i="9"/>
  <c r="B427" i="9"/>
  <c r="B426" i="9"/>
  <c r="B425" i="9"/>
  <c r="B424" i="9"/>
  <c r="B423" i="9"/>
  <c r="B422" i="9"/>
  <c r="B421" i="9"/>
  <c r="B420" i="9"/>
  <c r="B419" i="9"/>
  <c r="B418" i="9"/>
  <c r="B417" i="9"/>
  <c r="B416" i="9"/>
  <c r="B415" i="9"/>
  <c r="B414" i="9"/>
  <c r="B413" i="9"/>
  <c r="B412" i="9"/>
  <c r="B411" i="9"/>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alcChain>
</file>

<file path=xl/sharedStrings.xml><?xml version="1.0" encoding="utf-8"?>
<sst xmlns="http://schemas.openxmlformats.org/spreadsheetml/2006/main" count="29348" uniqueCount="8263">
  <si>
    <t>FACC</t>
  </si>
  <si>
    <t>FACC-FSC Label</t>
  </si>
  <si>
    <t>FACC Concept Definition</t>
  </si>
  <si>
    <t>CDB Directory Hierarchy</t>
  </si>
  <si>
    <t>FSC</t>
  </si>
  <si>
    <t>AA010-000</t>
  </si>
  <si>
    <t>Mine</t>
  </si>
  <si>
    <t>An excavation made in the earth for the purpose of extracting natural deposits. (See also AQ090)</t>
  </si>
  <si>
    <t>A_Culture\A_Extraction\010_Mine</t>
  </si>
  <si>
    <t>AA011-000</t>
  </si>
  <si>
    <t>Quarry_Wall</t>
  </si>
  <si>
    <t>The wall facing of the excavation within a quarry/mine.</t>
  </si>
  <si>
    <t>A_Culture\A_Extraction\011_Quarry_Wall</t>
  </si>
  <si>
    <t>AA012-000</t>
  </si>
  <si>
    <t>Quarry</t>
  </si>
  <si>
    <t>An excavation created by removal of stone by blasting or cutting.</t>
  </si>
  <si>
    <t>A_Culture\A_Extraction\012_Quarry</t>
  </si>
  <si>
    <t>AA013-000</t>
  </si>
  <si>
    <t>Pit</t>
  </si>
  <si>
    <t>An excavation where gravel, sand, or clay are removed for use elsewhere.</t>
  </si>
  <si>
    <t>A_Culture\A_Extraction\013_Pit</t>
  </si>
  <si>
    <t>AA040-000</t>
  </si>
  <si>
    <t>Rig_or_Superstructure</t>
  </si>
  <si>
    <t>A vertical structure fitted for drilling or lifting operations.</t>
  </si>
  <si>
    <t>A_Culture\A_Extraction\040_Rig_or_Superstructure</t>
  </si>
  <si>
    <t>AA050-000</t>
  </si>
  <si>
    <t>Well</t>
  </si>
  <si>
    <t>A hole drilled or dug into the earth or sea bed for the extraction of liquids or gases. (See also BH170)</t>
  </si>
  <si>
    <t>A_Culture\A_Extraction\050_Well</t>
  </si>
  <si>
    <t>AA051-000</t>
  </si>
  <si>
    <t>Wellhead</t>
  </si>
  <si>
    <t>The top of a well, as in oil, gas, or water well, that caps the well structure and which may be located on land or partially submerged offshore which nautical vessels can use for lashings.</t>
  </si>
  <si>
    <t>A_Culture\A_Extraction\051_Wellhead</t>
  </si>
  <si>
    <t>AA052-000</t>
  </si>
  <si>
    <t>Oil_or_Gas_Field</t>
  </si>
  <si>
    <t>An area where oil and/or gas is pumped or otherwise removed from the ground.</t>
  </si>
  <si>
    <t>A_Culture\A_Extraction\052_Oil_or_Gas_Field</t>
  </si>
  <si>
    <t>AA060-000</t>
  </si>
  <si>
    <t>Gradation_Work</t>
  </si>
  <si>
    <t>Trestle covered with twigs over which brine trickles that is concentrated through increased evaporation.</t>
  </si>
  <si>
    <t>A_Culture\A_Extraction\060_Gradation_Work</t>
  </si>
  <si>
    <t>AB000-000</t>
  </si>
  <si>
    <t>Disposal_Site</t>
  </si>
  <si>
    <t>A site for the collecting/depositing of refuse or discarded material. (See also AB010, AM010 and AM040)</t>
  </si>
  <si>
    <t>A_Culture\B_Disposal\000_Disposal_Site</t>
  </si>
  <si>
    <t>AB010-000</t>
  </si>
  <si>
    <t>Scrap_Yard</t>
  </si>
  <si>
    <t>An area or site engaged in the wrecking, dismantling, storage, or resale of discarded products. (See also AB000)</t>
  </si>
  <si>
    <t>A_Culture\B_Disposal\010_Scrap_Yard</t>
  </si>
  <si>
    <t>AB015-000</t>
  </si>
  <si>
    <t>Incinerator</t>
  </si>
  <si>
    <t>A permanent structure used for the disposal of waste products by burning.</t>
  </si>
  <si>
    <t>A_Culture\B_Disposal\015_Incinerator</t>
  </si>
  <si>
    <t>AB020-000</t>
  </si>
  <si>
    <t>Burner_Stack</t>
  </si>
  <si>
    <t>A_Culture\B_Disposal\020_Burner_Stack</t>
  </si>
  <si>
    <t>AB021-000</t>
  </si>
  <si>
    <t>Diffuser</t>
  </si>
  <si>
    <t>An artificial installation at or below water level, where liquids (e.g. cooling water, spillage) are spread out.</t>
  </si>
  <si>
    <t>A_Culture\B_Disposal\021_Diffuser</t>
  </si>
  <si>
    <t>AB030-000</t>
  </si>
  <si>
    <t>Waste_Plant</t>
  </si>
  <si>
    <t>Operational site with buildings and other facilities, where waste is processed through chemical, physical, biological or thermal procedures or a combination of those procedures. (See also AB000 and AB020)</t>
  </si>
  <si>
    <t>A_Culture\B_Disposal\030_Waste_Plant</t>
  </si>
  <si>
    <t>AB040-000</t>
  </si>
  <si>
    <t>Aeration_Basin</t>
  </si>
  <si>
    <t>A basin, usually artificial, in which air is mixed with partially treated wastewater.</t>
  </si>
  <si>
    <t>A_Culture\B_Disposal\040_Aeration_Basin</t>
  </si>
  <si>
    <t>AB507-000</t>
  </si>
  <si>
    <t>Waste_Heap</t>
  </si>
  <si>
    <t>An area where heaped material (for example: waste or spoil) is deposited.</t>
  </si>
  <si>
    <t>A_Culture\B_Disposal\507_Waste_Heap</t>
  </si>
  <si>
    <t>AC000-000</t>
  </si>
  <si>
    <t>Treatment_Plant</t>
  </si>
  <si>
    <t>A site used for changing or refining a particular material.</t>
  </si>
  <si>
    <t>A_Culture\C_Proc_Industry\000_Treatment_Plant</t>
  </si>
  <si>
    <t>AC010-000</t>
  </si>
  <si>
    <t>Blast_Furnace</t>
  </si>
  <si>
    <t>A heat chamber used for smelting iron ore.</t>
  </si>
  <si>
    <t>A_Culture\C_Proc_Industry\010_Blast_Furnace</t>
  </si>
  <si>
    <t>AC020-000</t>
  </si>
  <si>
    <t>Catalytic_Cracker</t>
  </si>
  <si>
    <t>A unit in which petroleum separation is carried out in the presence of a catalyst.</t>
  </si>
  <si>
    <t>A_Culture\C_Proc_Industry\020_Catalytic_Cracker</t>
  </si>
  <si>
    <t>AC030-000</t>
  </si>
  <si>
    <t>Settling_Basin</t>
  </si>
  <si>
    <t>A site where solid matter is precipitated from a liquid by evaporating or settling.</t>
  </si>
  <si>
    <t>A_Culture\C_Proc_Industry\030_Settling_Basin</t>
  </si>
  <si>
    <t>AC040-000</t>
  </si>
  <si>
    <t>Oil_or_Gas_Facility</t>
  </si>
  <si>
    <t>An area involved in the production or distribution of oil or natural gas.</t>
  </si>
  <si>
    <t>A_Culture\C_Proc_Industry\040_Oil_or_Gas_Facility</t>
  </si>
  <si>
    <t>AC050-000</t>
  </si>
  <si>
    <t>Works</t>
  </si>
  <si>
    <t>The structures, grounds, machinery etc. of a manufacturing establishment or structures in engineering such as docks, bridges.</t>
  </si>
  <si>
    <t>A_Culture\C_Proc_Industry\050_Works</t>
  </si>
  <si>
    <t>AC060-000</t>
  </si>
  <si>
    <t>Industrial_Furnace</t>
  </si>
  <si>
    <t>A structure used in material processing that employs heating to harden (for example: to fire brick or ceramic), pyrolyse (for example: convert coal to coke, or limestone to lime), burn (for example: to incinerate waste), or dry (for example: lumber).</t>
  </si>
  <si>
    <t>A_Culture\C_Proc_Industry\060_Industrial_Furnace</t>
  </si>
  <si>
    <t>AC070-000</t>
  </si>
  <si>
    <t>Industrial_Park</t>
  </si>
  <si>
    <t>An industrial facility consisting of buildings and related structures that are tenanted by multiple manufacturing (for example: industrial equipment manufacture or materials processing) and/or service businesses (for example: auto repair or residential contractors) requiring significant equipment and/or materials, and sharing common access to adjacent transport facilities.</t>
  </si>
  <si>
    <t>A_Culture\C_Proc_Industry\070_Industrial_Park</t>
  </si>
  <si>
    <t>AC507-000</t>
  </si>
  <si>
    <t>Sewage_Treatment_Plant</t>
  </si>
  <si>
    <t>An operational area with buildings and other facilities for the purification of wastewater.</t>
  </si>
  <si>
    <t>A_Culture\C_Proc_Industry\507_Sewage_Treatment_Plant</t>
  </si>
  <si>
    <t>AD010</t>
  </si>
  <si>
    <t>A_Culture\D_Power_Gen\010_Power_Plant</t>
  </si>
  <si>
    <t>AD010-000</t>
  </si>
  <si>
    <t>Power_Plant_Generic</t>
  </si>
  <si>
    <t>A facility including one or more buildings and equipment used for power generation. (See also AD020)</t>
  </si>
  <si>
    <t>AD010-001</t>
  </si>
  <si>
    <t>Hydro-electric</t>
  </si>
  <si>
    <t>A facility including one or more buildings and equipment used for power generation; a hydro-electric power plant.</t>
  </si>
  <si>
    <t>AD010-002</t>
  </si>
  <si>
    <t>Nuclear</t>
  </si>
  <si>
    <t>A facility including one or more buildings and equipment used for power generation; a nuclear power plant.</t>
  </si>
  <si>
    <t>AD010-003</t>
  </si>
  <si>
    <t>Solar</t>
  </si>
  <si>
    <t>A facility including one or more buildings and equipment used for power generation; a solar power plant.</t>
  </si>
  <si>
    <t>AD010-004</t>
  </si>
  <si>
    <t>Thermal</t>
  </si>
  <si>
    <t>A facility including one or more buildings and equipment used for power generation; a thermal power plant.</t>
  </si>
  <si>
    <t>AD010-005</t>
  </si>
  <si>
    <t>Wind</t>
  </si>
  <si>
    <t>A facility including one or more buildings and equipment used for power generation; a wind/windfarm power plant.</t>
  </si>
  <si>
    <t>AD010-006</t>
  </si>
  <si>
    <t>Tidal</t>
  </si>
  <si>
    <t>A facility including one or more buildings and equipment used for power generation; a tidal power plant.</t>
  </si>
  <si>
    <t>AD010-007</t>
  </si>
  <si>
    <t>Internal_Comb</t>
  </si>
  <si>
    <t>A facility including one or more buildings and equipment used for power generation; an Internal Combustion power plant.</t>
  </si>
  <si>
    <t>AD010-999</t>
  </si>
  <si>
    <t>Other</t>
  </si>
  <si>
    <t>A facility including one or more buildings and equipment used for power generation; other types of power plant.</t>
  </si>
  <si>
    <t>AD020-000</t>
  </si>
  <si>
    <t>Solar_Panel</t>
  </si>
  <si>
    <t>Units of solar cells for converting sunlight into electrical energy or heat. (See also AD010)</t>
  </si>
  <si>
    <t>A_Culture\D_Power_Gen\020_Solar_Panel</t>
  </si>
  <si>
    <t>AD025-000</t>
  </si>
  <si>
    <t>Solar_Farm</t>
  </si>
  <si>
    <t>An extensive collection of solar panels that are collocated and serve a common purpose (for example: the generation of electricity or the generation of heating steam and/or water).</t>
  </si>
  <si>
    <t>A_Culture\D_Power_Gen\025_Solar_Farm</t>
  </si>
  <si>
    <t>AD030-000</t>
  </si>
  <si>
    <t>Substation</t>
  </si>
  <si>
    <t>A facility, along a power line route, in which electric current is transformed and/or distributed.</t>
  </si>
  <si>
    <t>A_Culture\D_Power_Gen\030_Substation</t>
  </si>
  <si>
    <t>AD040-000</t>
  </si>
  <si>
    <t>Nuclear_Reactor</t>
  </si>
  <si>
    <t>An apparatus in which a nuclear chain reaction is initiated, sustained, and controlled. (See also AD010) This code is used to define a nuclear reactor which may be contained within a power plant.</t>
  </si>
  <si>
    <t>A_Culture\D_Power_Gen\040_Nuclear_Reactor</t>
  </si>
  <si>
    <t>AD041-000</t>
  </si>
  <si>
    <t>Nuclear_Reactor_Containment</t>
  </si>
  <si>
    <t>A building-like structure intended to create a barrier against the release of radioactivity generated during nuclear power operations.</t>
  </si>
  <si>
    <t>A_Culture\D_Power_Gen\041_Nuclear_Reactor_Containment</t>
  </si>
  <si>
    <t>AD050-000</t>
  </si>
  <si>
    <t>Heating_Plant</t>
  </si>
  <si>
    <t>Operational site with buildings and other facilities for the generation of thermal energy for heating purposes.</t>
  </si>
  <si>
    <t>A_Culture\D_Power_Gen\050_Heating_Plant</t>
  </si>
  <si>
    <t>AD055-000</t>
  </si>
  <si>
    <t>Cooling_Facility</t>
  </si>
  <si>
    <t>A facility for the removal of thermal energy (for example: by generating and circulating chilled water) for cooling purposes.</t>
  </si>
  <si>
    <t>A_Culture\D_Power_Gen\055_Cooling_Facility</t>
  </si>
  <si>
    <t>AD060-000</t>
  </si>
  <si>
    <t>Wind_Farm</t>
  </si>
  <si>
    <t>A collection of windmotors that are collocated and are organized as a single power generation unit.</t>
  </si>
  <si>
    <t>A_Culture\D_Power_Gen\060_Wind_Farm</t>
  </si>
  <si>
    <t>AE010-000</t>
  </si>
  <si>
    <t>Assembly_Plant</t>
  </si>
  <si>
    <t>A building or group of buildings used for the purpose of combining manufactured parts to make a completed product.</t>
  </si>
  <si>
    <t>A_Culture\E_Fab_Industry\010_Assembly_Plant</t>
  </si>
  <si>
    <t>AF010-000</t>
  </si>
  <si>
    <t>Smokestack</t>
  </si>
  <si>
    <t>A vertical structure containing a passage or flue for discharging smoke and gases of combustion.</t>
  </si>
  <si>
    <t>A_Culture\F_Ind_Structure\010_Smokestack</t>
  </si>
  <si>
    <t>AF020-000</t>
  </si>
  <si>
    <t>Conveyor</t>
  </si>
  <si>
    <t>An apparatus for moving materials from place to place on a moving belt or series of rollers.</t>
  </si>
  <si>
    <t>A_Culture\F_Ind_Structure\020_Conveyor</t>
  </si>
  <si>
    <t>AF021-000</t>
  </si>
  <si>
    <t>Bucket_Elevator</t>
  </si>
  <si>
    <t>A machine, usually a series of buckets, for raising materials or liquids to a higher level.</t>
  </si>
  <si>
    <t>A_Culture\F_Ind_Structure\021_Bucket_Elevator</t>
  </si>
  <si>
    <t>AF030-000</t>
  </si>
  <si>
    <t>Cooling_Tower</t>
  </si>
  <si>
    <t>A tower used to cool liquids.</t>
  </si>
  <si>
    <t>A_Culture\F_Ind_Structure\030_Cooling_Tower</t>
  </si>
  <si>
    <t>AF040-000</t>
  </si>
  <si>
    <t>Crane</t>
  </si>
  <si>
    <t>A machine for lifting, shifting, and lowering objects or materials by means of a swinging boom or with the lifting apparatus supported on an overhead track.</t>
  </si>
  <si>
    <t>A_Culture\F_Ind_Structure\040_Crane</t>
  </si>
  <si>
    <t>AF041-000</t>
  </si>
  <si>
    <t>Sheerleg</t>
  </si>
  <si>
    <t>Comprises two or three spars standing on end and lashed together, aloft. They serve as a derrick or tripod to lift heavy weights, step or lower masts, stacks, etc.</t>
  </si>
  <si>
    <t>A_Culture\F_Ind_Structure\041_Sheerleg</t>
  </si>
  <si>
    <t>AF050-000</t>
  </si>
  <si>
    <t>Dredger</t>
  </si>
  <si>
    <t>An excavating machine for removing earth or materials.</t>
  </si>
  <si>
    <t>A_Culture\F_Ind_Structure\050_Dredger</t>
  </si>
  <si>
    <t>AF060-000</t>
  </si>
  <si>
    <t>Engine_Cell</t>
  </si>
  <si>
    <t>A structure wherein engines are tested.</t>
  </si>
  <si>
    <t>A_Culture\F_Ind_Structure\060_Engine_Cell</t>
  </si>
  <si>
    <t>AF070-000</t>
  </si>
  <si>
    <t>Flare_Pipe</t>
  </si>
  <si>
    <t>An open-ended pipe at which waste gases are burned.</t>
  </si>
  <si>
    <t>A_Culture\F_Ind_Structure\070_Flare_Pipe</t>
  </si>
  <si>
    <t>AF080-000</t>
  </si>
  <si>
    <t>Hopper</t>
  </si>
  <si>
    <t>A top-loaded funnel-shaped structure for temporary holding of loose material which will be dispensed from its bottom.</t>
  </si>
  <si>
    <t>A_Culture\F_Ind_Structure\080_Hopper</t>
  </si>
  <si>
    <t>AG030-000</t>
  </si>
  <si>
    <t>Shopping_Complex</t>
  </si>
  <si>
    <t>A commercial facility tenanted by multiple retail stores (for example: household goods, clothing, or books), restaurants (for example: a food court), entertainment venues (for example: a movie theatre or electronic games arcade), and/or other businesses (for example: professional services), that is completely enclosed, climate controlled, has a common public arcade (for example: furnished with decorative plantings, benches, and/or fountains) and a common vehicle parking area (for example: a parking lot or parking garage).</t>
  </si>
  <si>
    <t>A_Culture\G_Commercial\030_Shopping_Complex</t>
  </si>
  <si>
    <t>AG040-000</t>
  </si>
  <si>
    <t>Office_Park</t>
  </si>
  <si>
    <t>A commercial facility consisting of multiple office buildings tenanted by one or more non-retail businesses (for example: corporate management, consulting services, or research and development) and supportive businesses (for example: a restaurant serving mid-day meals or a post office) that share a common park-like setting consisting of landscaping (for example: lawns, ornamental plantings, or ponds), parking facilities, and common entrances from adjacent roads.</t>
  </si>
  <si>
    <t>A_Culture\G_Commercial\040_Office_Park</t>
  </si>
  <si>
    <t>AG050-000</t>
  </si>
  <si>
    <t>Billboard</t>
  </si>
  <si>
    <t>A large outdoor board for advertisements.</t>
  </si>
  <si>
    <t>A_Culture\G_Commercial\050_Billboard</t>
  </si>
  <si>
    <t>AH010-000</t>
  </si>
  <si>
    <t>Bastion</t>
  </si>
  <si>
    <t>A defensive wall built to defend a fort or other defensive work and sometimes equipped with guns.</t>
  </si>
  <si>
    <t>A_Culture\H_Institutional\010_Bastion</t>
  </si>
  <si>
    <t>AH020-000</t>
  </si>
  <si>
    <t>Trench</t>
  </si>
  <si>
    <t>A linear excavation dug for defensive purposes.</t>
  </si>
  <si>
    <t>A_Culture\H_Institutional\020_Trench</t>
  </si>
  <si>
    <t>AH030-000</t>
  </si>
  <si>
    <t>Hazard_Shelter</t>
  </si>
  <si>
    <t>A structure intended for short term occupancy to protect personnel from injury.</t>
  </si>
  <si>
    <t>A_Culture\H_Institutional\030_Hazard_Shelter</t>
  </si>
  <si>
    <t>AH050-000</t>
  </si>
  <si>
    <t>Fortification</t>
  </si>
  <si>
    <t>A facility constructed for the military defense of a site. (See also AM060)</t>
  </si>
  <si>
    <t>A_Culture\H_Institutional\050_Fortification</t>
  </si>
  <si>
    <t>AH060-000</t>
  </si>
  <si>
    <t>Bunker</t>
  </si>
  <si>
    <t>An underground facility used by the military either for location of command/control centers or for troop encampment. (See also AL250)</t>
  </si>
  <si>
    <t>A_Culture\H_Institutional\060_Bunker</t>
  </si>
  <si>
    <t>AH070-000</t>
  </si>
  <si>
    <t>Checkpoint</t>
  </si>
  <si>
    <t>An official place to register, declare or check goods and people.</t>
  </si>
  <si>
    <t>A_Culture\H_Institutional\070_Checkpoint</t>
  </si>
  <si>
    <t>AI020-000</t>
  </si>
  <si>
    <t>Mobile_Home_Park</t>
  </si>
  <si>
    <t>A site for the permanent parking of trailer(s) used as dwellings and designed without a permanent foundation. (See also AK060 and AQ140)</t>
  </si>
  <si>
    <t>A_Culture\I_Residential\020_Mobile_Home_Park</t>
  </si>
  <si>
    <t>AI030-000</t>
  </si>
  <si>
    <t>Camp</t>
  </si>
  <si>
    <t>A place where tents or buildings serve as temporary residence for members of an organization.</t>
  </si>
  <si>
    <t>A_Culture\I_Residential\030_Camp</t>
  </si>
  <si>
    <t>AJ010-000</t>
  </si>
  <si>
    <t>Circular_Irrigation</t>
  </si>
  <si>
    <t>An elevated irrigation system revolving around a central pivot point.</t>
  </si>
  <si>
    <t>A_Culture\J_Agriculture\010_Circular_Irrigation</t>
  </si>
  <si>
    <t>AJ020-000</t>
  </si>
  <si>
    <t>Siphon</t>
  </si>
  <si>
    <t>Bent or curved tube so arranged that liquid flows up or down through it under the force of gravity.</t>
  </si>
  <si>
    <t>A_Culture\J_Agriculture\020_Siphon</t>
  </si>
  <si>
    <t>AJ030-000</t>
  </si>
  <si>
    <t>Stockyard</t>
  </si>
  <si>
    <t>An enclosed area in which livestock are temporarily kept.</t>
  </si>
  <si>
    <t>A_Culture\J_Agriculture\030_Stockyard</t>
  </si>
  <si>
    <t>AJ050-000</t>
  </si>
  <si>
    <t>Windmill</t>
  </si>
  <si>
    <t>A wind-driven system of vanes attached to a tower like structure (excluding wind-generated power plants).</t>
  </si>
  <si>
    <t>A_Culture\J_Agriculture\050_Windmill</t>
  </si>
  <si>
    <t>AJ051-000</t>
  </si>
  <si>
    <t>Windmotor</t>
  </si>
  <si>
    <t>A modern structure used for wind power.</t>
  </si>
  <si>
    <t>A_Culture\J_Agriculture\051_Windmotor</t>
  </si>
  <si>
    <t>AJ055-000</t>
  </si>
  <si>
    <t>Water_Mill</t>
  </si>
  <si>
    <t>A structure that uses a water wheel or turbine to drive a mechanical process (for example: grinding grain into flour, cutting timber into lumber, or stripping bark from trees for use in tanning).</t>
  </si>
  <si>
    <t>A_Culture\J_Agriculture\055_Water_Mill</t>
  </si>
  <si>
    <t>AJ060-000</t>
  </si>
  <si>
    <t>Farm</t>
  </si>
  <si>
    <t>A tract of land, including buildings and structures, whose primary use is the production of food (for example: crops or livestock).</t>
  </si>
  <si>
    <t>A_Culture\J_Agriculture\060_Farm</t>
  </si>
  <si>
    <t>AJ070-000</t>
  </si>
  <si>
    <t>Ranch</t>
  </si>
  <si>
    <t>A tract of land, including buildings and structures, whose primary use is the grazing of livestock on large, mostly unimproved, lands that are otherwise unsuitable for farming (for example: arid).</t>
  </si>
  <si>
    <t>A_Culture\J_Agriculture\070_Ranch</t>
  </si>
  <si>
    <t>AJ080-000</t>
  </si>
  <si>
    <t>Stable</t>
  </si>
  <si>
    <t>A building similar to a barn and adapted for the shelter and feeding of domestic animals, being divided into individual stalls.</t>
  </si>
  <si>
    <t>A_Culture\J_Agriculture\080_Stable</t>
  </si>
  <si>
    <t>AJ085-000</t>
  </si>
  <si>
    <t>Barn</t>
  </si>
  <si>
    <t>A roofed farm building designed for sheltering harvested crops (for example: hay), livestock (for example: cattle), and/or farm machinery (for example: tractors and plows).</t>
  </si>
  <si>
    <t>A_Culture\J_Agriculture\085_Barn</t>
  </si>
  <si>
    <t>AJ090-000</t>
  </si>
  <si>
    <t>Cattle_Dipping_Tank</t>
  </si>
  <si>
    <t>A small artificial pond used for immersing cattle in chemically treated water for disease control.</t>
  </si>
  <si>
    <t>A_Culture\J_Agriculture\090_Cattle_Dipping_Tank</t>
  </si>
  <si>
    <t>AJ100-000</t>
  </si>
  <si>
    <t>Agricultural_Colony</t>
  </si>
  <si>
    <t>A tract of land set aside for agricultural settlement.</t>
  </si>
  <si>
    <t>A_Culture\J_Agriculture\100_Agricultural_Colony</t>
  </si>
  <si>
    <t>AJ110-000</t>
  </si>
  <si>
    <t>Greenhouse</t>
  </si>
  <si>
    <t>A building constructed primarily of transparent material (for example: glass or plastic), in which temperature and humidity can be controlled for the cultivation and/or protection of plants.</t>
  </si>
  <si>
    <t>A_Culture\J_Agriculture\110_Greenhouse</t>
  </si>
  <si>
    <t>AJ501-000</t>
  </si>
  <si>
    <t>Water_Wheel</t>
  </si>
  <si>
    <t>A wheel, one portion of which is immersed in water, that consists of vanes or cells and rotates on a supporting framework.</t>
  </si>
  <si>
    <t>A_Culture\J_Agriculture\501_Water_Wheel</t>
  </si>
  <si>
    <t>AJ525-000</t>
  </si>
  <si>
    <t>Grange</t>
  </si>
  <si>
    <t>A farm, especially a country house with out-buildings attached, that is closed to the street by a gate or by a vertical building with a gate in it.</t>
  </si>
  <si>
    <t>A_Culture\J_Agriculture\525_Grange</t>
  </si>
  <si>
    <t>Recreational</t>
  </si>
  <si>
    <t>A_Culture\K_Recreational</t>
  </si>
  <si>
    <t>AK015-000</t>
  </si>
  <si>
    <t>Bandshell</t>
  </si>
  <si>
    <t>An outdoor band-stand in the form of a large concave shell with special acoustical properties.</t>
  </si>
  <si>
    <t>A_Culture\K_Recreational\015_Bandshell</t>
  </si>
  <si>
    <t>AK020-000</t>
  </si>
  <si>
    <t>Amst_Pk_Attract</t>
  </si>
  <si>
    <t>A large structure located in an Amusement Park.</t>
  </si>
  <si>
    <t>A_Culture\K_Recreational\020_Amst_Pk_Attract</t>
  </si>
  <si>
    <t>AK030-000</t>
  </si>
  <si>
    <t>Amst_Pk</t>
  </si>
  <si>
    <t>A predominantly man-made facility equipped with recreational devices. (See also AK090 and AK120)</t>
  </si>
  <si>
    <t>A_Culture\K_Recreational\030_Amst_Pk</t>
  </si>
  <si>
    <t>AK040-000</t>
  </si>
  <si>
    <t>Athletic_Field</t>
  </si>
  <si>
    <t>An open area where sporting events, exercises, or games occur.</t>
  </si>
  <si>
    <t>A_Culture\K_Recreational\040_Athletic_Field</t>
  </si>
  <si>
    <t>AK050-000</t>
  </si>
  <si>
    <t>Tennis_Court</t>
  </si>
  <si>
    <t>An area or site used for the sport of tennis.</t>
  </si>
  <si>
    <t>A_Culture\K_Recreational\050_Tennis_Court</t>
  </si>
  <si>
    <t>AK051-000</t>
  </si>
  <si>
    <t>Tennis_Complex</t>
  </si>
  <si>
    <t>A site and associated facilities used for the sport of tennis.</t>
  </si>
  <si>
    <t>A_Culture\K_Recreational\051_Tennis_Complex</t>
  </si>
  <si>
    <t>AK060-000</t>
  </si>
  <si>
    <t>Campground</t>
  </si>
  <si>
    <t>A location for camping. (See also AI020 and AQ140)</t>
  </si>
  <si>
    <t>A_Culture\K_Recreational\060_Campground</t>
  </si>
  <si>
    <t>AK061-000</t>
  </si>
  <si>
    <t>Picnic_Site</t>
  </si>
  <si>
    <t>A parcel of land that has picnic tables for public use.</t>
  </si>
  <si>
    <t>A_Culture\K_Recreational\061_Picnic_Site</t>
  </si>
  <si>
    <t>AK070-000</t>
  </si>
  <si>
    <t>Drive-In_Theater</t>
  </si>
  <si>
    <t>A place where motion pictures are shown while viewers remain in their vehicles.</t>
  </si>
  <si>
    <t>A_Culture\K_Recreational\070_Drive-In_Theater</t>
  </si>
  <si>
    <t>AK080-000</t>
  </si>
  <si>
    <t>Theater_Screen</t>
  </si>
  <si>
    <t>A large outdoor screen for showing motion pictures.</t>
  </si>
  <si>
    <t>A_Culture\K_Recreational\080_Theater_Screen</t>
  </si>
  <si>
    <t>AK090-000</t>
  </si>
  <si>
    <t>Fairground</t>
  </si>
  <si>
    <t>An area where permanent facilities exist to hold outdoor fairs, circuses or exhibitions. (See also AK091, AK030 and AK120)</t>
  </si>
  <si>
    <t>A_Culture\K_Recreational\090_Fairground</t>
  </si>
  <si>
    <t>AK091-000</t>
  </si>
  <si>
    <t>Exhibition_Ground</t>
  </si>
  <si>
    <t>An area where permanent facilities exist to hold outdoor exhibitions. (Superseeded by AK090)</t>
  </si>
  <si>
    <t>A_Culture\K_Recreational\091_Exhibition_Ground</t>
  </si>
  <si>
    <t>AK100-000</t>
  </si>
  <si>
    <t>Golf_Course</t>
  </si>
  <si>
    <t>An area of land laid out for the game of golf.</t>
  </si>
  <si>
    <t>A_Culture\K_Recreational\100_Golf_Course</t>
  </si>
  <si>
    <t>AK101-000</t>
  </si>
  <si>
    <t>Golf_Driving_Range</t>
  </si>
  <si>
    <t>A parcel or tract of land used for practicing golf shots.</t>
  </si>
  <si>
    <t>A_Culture\K_Recreational\101_Golf_Driving_Range</t>
  </si>
  <si>
    <t>AK110-000</t>
  </si>
  <si>
    <t>Grandstand</t>
  </si>
  <si>
    <t>AA usually roofed structure for special viewing of events and having tiers of seats or standing room for spectators.</t>
  </si>
  <si>
    <t>A_Culture\K_Recreational\110_Grandstand</t>
  </si>
  <si>
    <t>AK120-000</t>
  </si>
  <si>
    <t>Park</t>
  </si>
  <si>
    <t>An area used for recreational or ornamental purposes. (See also AK030, AK090 and AL170)</t>
  </si>
  <si>
    <t>A_Culture\K_Recreational\120_Park</t>
  </si>
  <si>
    <t>AK121-000</t>
  </si>
  <si>
    <t>Lookout</t>
  </si>
  <si>
    <t>An area, generally an elevated place, with facilities for observing the scenery.</t>
  </si>
  <si>
    <t>A_Culture\K_Recreational\121_Lookout</t>
  </si>
  <si>
    <t>AK122-000</t>
  </si>
  <si>
    <t>Green_Space</t>
  </si>
  <si>
    <t>A maintained vegetated area, which may also contain pathways. Its primary intent is to improve the appearance of a Built-Up Area, and which is not a park. (See also AK120)</t>
  </si>
  <si>
    <t>A_Culture\K_Recreational\122_Green_Space</t>
  </si>
  <si>
    <t>AK123-000</t>
  </si>
  <si>
    <t>Bench</t>
  </si>
  <si>
    <t>A long hard seat for two or more persons.</t>
  </si>
  <si>
    <t>A_Culture\K_Recreational\123_Bench</t>
  </si>
  <si>
    <t>AK124-000</t>
  </si>
  <si>
    <t>Picnic_Table</t>
  </si>
  <si>
    <t>A table used for picnics.</t>
  </si>
  <si>
    <t>A_Culture\K_Recreational\124_Picnic_Table</t>
  </si>
  <si>
    <t>AK130-000</t>
  </si>
  <si>
    <t>Race_Track</t>
  </si>
  <si>
    <t>A course for racing.</t>
  </si>
  <si>
    <t>A_Culture\K_Recreational\130_Race_Track</t>
  </si>
  <si>
    <t>AK140-000</t>
  </si>
  <si>
    <t>Planter</t>
  </si>
  <si>
    <t>A container for growing or displaying plants, usually decorative and permanent.</t>
  </si>
  <si>
    <t>A_Culture\K_Recreational\140_Planter</t>
  </si>
  <si>
    <t>AK141-000</t>
  </si>
  <si>
    <t>Statue_Pedestal</t>
  </si>
  <si>
    <t>An architectural support or base for a statue.</t>
  </si>
  <si>
    <t>A_Culture\K_Recreational\141_Statue_Pedestal</t>
  </si>
  <si>
    <t>AK150-000</t>
  </si>
  <si>
    <t>Ski_Jump</t>
  </si>
  <si>
    <t>A ramp used for ski jumping.</t>
  </si>
  <si>
    <t>A_Culture\K_Recreational\150_Ski_Jump</t>
  </si>
  <si>
    <t>AK155-000</t>
  </si>
  <si>
    <t>Ski_Track</t>
  </si>
  <si>
    <t>A course prepared for skiing.</t>
  </si>
  <si>
    <t>A_Culture\K_Recreational\155_Ski_Track</t>
  </si>
  <si>
    <t>AK160-000</t>
  </si>
  <si>
    <t>Stadium</t>
  </si>
  <si>
    <t>An arena for holding and viewing events.</t>
  </si>
  <si>
    <t>A_Culture\K_Recreational\160_Stadium</t>
  </si>
  <si>
    <t>AK161-000</t>
  </si>
  <si>
    <t>Scoreboard</t>
  </si>
  <si>
    <t>A large outdoor board for publicly displaying the score in an athletic event.</t>
  </si>
  <si>
    <t>A_Culture\K_Recreational\161_Scoreboard</t>
  </si>
  <si>
    <t>AK164-000</t>
  </si>
  <si>
    <t>Amphitheatre</t>
  </si>
  <si>
    <t>A small tract of level ground serving as a stage that is surrounded by rising slopes (either naturally occurring or artificially constructed) supporting tiered seating (for example: benches).</t>
  </si>
  <si>
    <t>A_Culture\K_Recreational\164_Amphitheatre</t>
  </si>
  <si>
    <t>AK165-000</t>
  </si>
  <si>
    <t>Sports_Stadium</t>
  </si>
  <si>
    <t>An athletic field partially or completely surrounded by a structure designed to allow spectators to stand or sit and view the event.</t>
  </si>
  <si>
    <t>A_Culture\K_Recreational\165_Sports_Stadium</t>
  </si>
  <si>
    <t>AK166-000</t>
  </si>
  <si>
    <t>Arena</t>
  </si>
  <si>
    <t>A building enclosing a large open area, often circular or oval-shaped, surrounded on most or all sides by tiered seating for spectators.</t>
  </si>
  <si>
    <t>A_Culture\K_Recreational\166_Arena</t>
  </si>
  <si>
    <t>AK170-000</t>
  </si>
  <si>
    <t>Swimming_Pool</t>
  </si>
  <si>
    <t>A constructed basin used for swimming outdoors.</t>
  </si>
  <si>
    <t>A_Culture\K_Recreational\170_Swimming_Pool</t>
  </si>
  <si>
    <t>AK180-000</t>
  </si>
  <si>
    <t>Zoo</t>
  </si>
  <si>
    <t>An area with a collection of live animals usually for public display.</t>
  </si>
  <si>
    <t>A_Culture\K_Recreational\180_Zoo</t>
  </si>
  <si>
    <t>AK190-000</t>
  </si>
  <si>
    <t>Fishing</t>
  </si>
  <si>
    <t>A structure extending into the water used as a platform for recreational purposes, not intended as a berthing place for vessels.</t>
  </si>
  <si>
    <t>A_Culture\K_Recreational\190_Fishing</t>
  </si>
  <si>
    <t>AK200-000</t>
  </si>
  <si>
    <t>Spa</t>
  </si>
  <si>
    <t>A resort town or area centered around mineral and/or hot springs that are believed to have restorative powers.</t>
  </si>
  <si>
    <t>A_Culture\K_Recreational\200_Spa</t>
  </si>
  <si>
    <t>AK539-000</t>
  </si>
  <si>
    <t>Open_Air_Bath</t>
  </si>
  <si>
    <t>A facility with a swimming pool and/or located on the bank of a water body that is used for bathing or swimming.</t>
  </si>
  <si>
    <t>A_Culture\K_Recreational\539_Open_Air_Bath</t>
  </si>
  <si>
    <t>AL005-000</t>
  </si>
  <si>
    <t>Animal_Sanctuary</t>
  </si>
  <si>
    <t>A natural area set aside for the preservation and protection of wildlife.</t>
  </si>
  <si>
    <t>A_Culture\L_Misc_Feature\005_Animal_Sanctuary</t>
  </si>
  <si>
    <t>AL010-000</t>
  </si>
  <si>
    <t>Facility</t>
  </si>
  <si>
    <t>An area that has been developed to perform a specific principal function, consisting of one or more vertical constructions (for example: structures or buildings), horizontal constructions (for example: pavements, roads, rail tracks, or bridges), and/or supporting utilities (for example: power lines, water supply, or sewerage), plus the underlying land.</t>
  </si>
  <si>
    <t>A_Culture\L_Misc_Feature\010_Facility</t>
  </si>
  <si>
    <t>AL011-000</t>
  </si>
  <si>
    <t>Installation</t>
  </si>
  <si>
    <t>A grouping of facilities, located in the same vicinity, which support particular functions (for example: military operations).</t>
  </si>
  <si>
    <t>A_Culture\L_Misc_Feature\011_Installation</t>
  </si>
  <si>
    <t>AL012-000</t>
  </si>
  <si>
    <t>Arch_Site</t>
  </si>
  <si>
    <t>A site or location where remains of ancient civilizations or human activity have been discovered. (See also AL200)</t>
  </si>
  <si>
    <t>A_Culture\L_Misc_Feature\012_Arch_Site</t>
  </si>
  <si>
    <t>AL013-000</t>
  </si>
  <si>
    <t>Building</t>
  </si>
  <si>
    <t>A free-standing self-supporting construction that is roofed, usually walled, and is intended for human occupancy (for example: a place of work or recreation) and/or habitation.</t>
  </si>
  <si>
    <t>A_Culture\L_Misc_Feature\013_Building</t>
  </si>
  <si>
    <t>AL014-000</t>
  </si>
  <si>
    <t>Non_Building_Structure</t>
  </si>
  <si>
    <t>A free-standing self-supporting construction (for example: a large piece of equipment) designed to support human activities (for example: agriculture, manufacturing, or mining) but not intended for human occupancy and/or habitation (for example: a house, a bank, an office, or a stadium).</t>
  </si>
  <si>
    <t>A_Culture\L_Misc_Feature\014_Non_Building_Structure</t>
  </si>
  <si>
    <t>A_Culture\L_Misc_Feature\015_Building</t>
  </si>
  <si>
    <t>AL015-000</t>
  </si>
  <si>
    <t>Building_Generic</t>
  </si>
  <si>
    <t>A relatively permanent structure, roofed and usually walled and designed for some particular use. (See also AL100)</t>
  </si>
  <si>
    <t>AL015-001</t>
  </si>
  <si>
    <t>Fab_Structure</t>
  </si>
  <si>
    <t>A BUILDING used for the purpose of manufacturing COMPONENTs, which may be assembled on-site or elsewhere, to make a completed product; a fabrication building.</t>
  </si>
  <si>
    <t>AL015-002</t>
  </si>
  <si>
    <t>Gov_Building</t>
  </si>
  <si>
    <t>A BUILDING devoted to the act or process of administration of public policy in a political unit; a government building.</t>
  </si>
  <si>
    <t>AL015-003</t>
  </si>
  <si>
    <t>Capitol_Building</t>
  </si>
  <si>
    <t>A BUILDING in which a national or sub-national legislature meets; a capitol building.</t>
  </si>
  <si>
    <t>AL015-004</t>
  </si>
  <si>
    <t>Castle</t>
  </si>
  <si>
    <t>A large fortified NON_EMPTY_SET of BUILDINGs with thick WALLs, usually dominating the surrounding TERRAIN_SURFACE_REGION; a castle [SOED, "castle", I.1].</t>
  </si>
  <si>
    <t>AL015-005</t>
  </si>
  <si>
    <t>Gov_Admin_Building</t>
  </si>
  <si>
    <t>AL015-006</t>
  </si>
  <si>
    <t>Hospital</t>
  </si>
  <si>
    <t>A BUILDING used to provide inpatient medical, surgical, or psychiatric care and treatment for the sick or the injured; a hospital.</t>
  </si>
  <si>
    <t>AL015-007</t>
  </si>
  <si>
    <t>House_of_Worship</t>
  </si>
  <si>
    <t>A place where religious worship is performed, especially a BUILDING designed for this purpose; a place of worship [SOED, "place of worship"]. EXAMPLES CHAPEL, CHURCH, MOSQUE, SYNAGOGUE.</t>
  </si>
  <si>
    <t>AL015-008</t>
  </si>
  <si>
    <t>Mil_Admin_Ops_Building</t>
  </si>
  <si>
    <t>A BUILDING devoted to the act or process of managing military forces or overseeing the conduct of military operations; a military operations building.</t>
  </si>
  <si>
    <t>AL015-009</t>
  </si>
  <si>
    <t>Museum</t>
  </si>
  <si>
    <t>A BUILDING devoted to the acquisition, conservation, study, exhibition, and educational interpretation of OBJECTs having scientific, historical, or artistic value; a museum [AHD, "museum"].</t>
  </si>
  <si>
    <t>AL015-010</t>
  </si>
  <si>
    <t>Observatory</t>
  </si>
  <si>
    <t>A station that is equipped for observation and study.</t>
  </si>
  <si>
    <t>AL015-011</t>
  </si>
  <si>
    <t>Palace</t>
  </si>
  <si>
    <t>A BUILDING serving, or that has previously served, as the official residence of a royal personage or high dignitary in a religious establishment or government; a palace [SOED, "palace", 1].</t>
  </si>
  <si>
    <t>AL015-012</t>
  </si>
  <si>
    <t>Police_Station</t>
  </si>
  <si>
    <t>A PUBLIC_SERVICE_STATION that serves as the headquarters of a unit of a police force and that is where those under arrest are first charged; a police station.</t>
  </si>
  <si>
    <t>AL015-013</t>
  </si>
  <si>
    <t>Prison</t>
  </si>
  <si>
    <t>A BUILDING within which persons convicted or accused of crimes are confined; a penitentiary or correctional building.</t>
  </si>
  <si>
    <t>AL015-014</t>
  </si>
  <si>
    <t>Ranger_Station</t>
  </si>
  <si>
    <t>A BUILDING housing a warden employed to maintain and protect a FOREST or other natural REGION of a PLANETARY_SURFACE; a ranger station.</t>
  </si>
  <si>
    <t>AL015-015</t>
  </si>
  <si>
    <t>School</t>
  </si>
  <si>
    <t>A BUILDING used for instruction; a school building.</t>
  </si>
  <si>
    <t>AL015-016</t>
  </si>
  <si>
    <t>House</t>
  </si>
  <si>
    <t>A BUILDING serving as a DWELLING for one or more HUMANs, especially for a family; a house [AHD, "house, 1.a"].</t>
  </si>
  <si>
    <t>AL015-017</t>
  </si>
  <si>
    <t>Multi_Unit_Dwelling</t>
  </si>
  <si>
    <t>A BUILDING used as a DWELLING by multiple groups of occupants; a multi-unit dwelling.</t>
  </si>
  <si>
    <t>AL015-018</t>
  </si>
  <si>
    <t>Cemetery_Building</t>
  </si>
  <si>
    <t>A BUILDING associated with a CEMETERY.</t>
  </si>
  <si>
    <t>AL015-019</t>
  </si>
  <si>
    <t>Farm_Building</t>
  </si>
  <si>
    <t>A BUILDING located on a FARM.</t>
  </si>
  <si>
    <t>AL015-020</t>
  </si>
  <si>
    <t>A BUILDING, which is often constructed primarily of transparent MATERIAL (for example: glass or plastic), in which AIR_TEMPERATURE and RELATIVE_HUMIDITY can be controlled for the cultivation and/or protection of PLANTs; a greenhouse [SOED, "greenhouse", a].</t>
  </si>
  <si>
    <t>AL015-021</t>
  </si>
  <si>
    <t>Garage</t>
  </si>
  <si>
    <t>A BUILDING or indoor space used to park or keep MOTOR_VEHICLEs; a parking garage.</t>
  </si>
  <si>
    <t>AL015-022</t>
  </si>
  <si>
    <t>Watermill_Gristmill</t>
  </si>
  <si>
    <t>A STRUCTURE equipped with water-driven EQUIPMENT for grinding grain into flour or meal; a water driven gristmill.</t>
  </si>
  <si>
    <t>AL015-023</t>
  </si>
  <si>
    <t>Wind_Tunnel</t>
  </si>
  <si>
    <t>EQUIPMENT through which AIR is forced at controlled velocities in order to study the effects of aerodynamic flow around airfoils, scale models, or other OBJECTs; a wind tunnel [AHD, "wind tunnel"].</t>
  </si>
  <si>
    <t>AL015-024</t>
  </si>
  <si>
    <t>Warehouse</t>
  </si>
  <si>
    <t>A BUILDING in which goods or merchandise are stored; a warehouse [AHD, "warehouse", 1].</t>
  </si>
  <si>
    <t>AL015-025</t>
  </si>
  <si>
    <t>Roundhouse</t>
  </si>
  <si>
    <t>A circular BUILDING containing a RAILWAY_TURNTABLE; a roundhouse [AHD, "roundhouse", 1].</t>
  </si>
  <si>
    <t>AL015-026</t>
  </si>
  <si>
    <t>Railroad_Facility</t>
  </si>
  <si>
    <t>A FACILITY used for the servicing, repair, and/or storage of RAIL_WAGONs and related EQUIPMENT.</t>
  </si>
  <si>
    <t>AL015-027</t>
  </si>
  <si>
    <t>Depot_Terminal</t>
  </si>
  <si>
    <t>A RAILWAY_STATION or BUS_STATION, usually with an attached WAREHOUSE; a depot.</t>
  </si>
  <si>
    <t>AL015-028</t>
  </si>
  <si>
    <t>Admin_Building</t>
  </si>
  <si>
    <t>A BUILDING devoted to the act and/or process of administration or management.</t>
  </si>
  <si>
    <t>AL015-029</t>
  </si>
  <si>
    <t>AC_Maint_Shop</t>
  </si>
  <si>
    <t>A BUILDING, usually located at an AERODROME, used for keeping AIRCRAFT in a condition of good repair and/or efficiency; an aircraft maintenance shop.</t>
  </si>
  <si>
    <t>AL015-030</t>
  </si>
  <si>
    <t>Hangar</t>
  </si>
  <si>
    <t>A BUILDING used for the storage of AIRCRAFT; an aircraft hangar [SOED, "hangar"].</t>
  </si>
  <si>
    <t>AL015-031</t>
  </si>
  <si>
    <t>Customs_House</t>
  </si>
  <si>
    <t>A GOVERNMENT_BUILDING serving as a CHECKPOINT where customs duties are collected and shipments or VEHICLEs are cleared for entering or leaving a country; a customs house.</t>
  </si>
  <si>
    <t>AL015-033</t>
  </si>
  <si>
    <t>Health_Office</t>
  </si>
  <si>
    <t>A BUILDING used in the diagnosis and care of outpatients; a health office or clinic.</t>
  </si>
  <si>
    <t>AL015-034</t>
  </si>
  <si>
    <t>Firing_Range</t>
  </si>
  <si>
    <t>A FACILITY designated for the purpose of discharging firearms or detonating MUNITIONs; a weapons range, a firing range, or a gunnery range.</t>
  </si>
  <si>
    <t>AL015-035</t>
  </si>
  <si>
    <t>Post_Office</t>
  </si>
  <si>
    <t>A PUBLIC_SERVICE_STATION where postal business (for example: where mail is handled and/or where stamps and other postal materials are sold) may be carried on; a post office.</t>
  </si>
  <si>
    <t>AL015-036</t>
  </si>
  <si>
    <t>Dormitory</t>
  </si>
  <si>
    <t>A BUILDING used to house CIVILIAN_PERSONNEL that is typically large, unadorned, and intended for relatively temporary occupancy; a dormitory.</t>
  </si>
  <si>
    <t>AL015-037</t>
  </si>
  <si>
    <t>Fire_Station</t>
  </si>
  <si>
    <t>A PUBLIC_SERVICE_STATION that houses both fire-fighting EQUIPMENT and PERSONNEL; a fire station [MWCD, "fire station"] or firehouse.</t>
  </si>
  <si>
    <t>AL015-038</t>
  </si>
  <si>
    <t>Jail</t>
  </si>
  <si>
    <t>A local DETENTION_FACILITY where the criminally accused are initially taken to be processed and await trial and where short (usually less than one year) sentences for criminal misconduct can be served; a jail.</t>
  </si>
  <si>
    <t>AL015-039</t>
  </si>
  <si>
    <t>Guardhouse</t>
  </si>
  <si>
    <t>AL015-040</t>
  </si>
  <si>
    <t>Telephone_Station</t>
  </si>
  <si>
    <t>A COMMUNICATION_STATION housing a SYSTEM of switches that establishes connections between individual telecommunication DEVICEs; a telecom switching station.</t>
  </si>
  <si>
    <t>AL015-050</t>
  </si>
  <si>
    <t>Church</t>
  </si>
  <si>
    <t>A BUILDING functioning as a WORSHIP_PLACE for public, especially Christian, worship; a church [SOED, "church", 1].</t>
  </si>
  <si>
    <t>AL015-051</t>
  </si>
  <si>
    <t>Market</t>
  </si>
  <si>
    <t>An open space or STRUCTURE where goods are offered for sale; a market [SOED, "market", 2].</t>
  </si>
  <si>
    <t>AL015-052</t>
  </si>
  <si>
    <t>Town_Hall</t>
  </si>
  <si>
    <t>The MUNICIPAL_HALL of a TOWN.</t>
  </si>
  <si>
    <t>AL015-053</t>
  </si>
  <si>
    <t>Bank</t>
  </si>
  <si>
    <t>A BUILDING housing an establishment for the deposit, custody, and issue of money; for making loans and discounts; and for making easier the exchange of funds by certificates, checks, and/or notes; a bank [SOED, "bank", n3.3].</t>
  </si>
  <si>
    <t>AL015-054</t>
  </si>
  <si>
    <t>Service_Station</t>
  </si>
  <si>
    <t>AL015-055</t>
  </si>
  <si>
    <t>Yacht_Club</t>
  </si>
  <si>
    <t>The BUILDINGs, GROUNDS, and DOCKs of an organization that promotes and supports yachting, sailing, and boating; a nautical club, yacht club, or sailing club.</t>
  </si>
  <si>
    <t>AL015-056</t>
  </si>
  <si>
    <t>Public_Inn</t>
  </si>
  <si>
    <t>A RESTAURANT where lodging may be available; a public inn.</t>
  </si>
  <si>
    <t>AL015-057</t>
  </si>
  <si>
    <t>Restaurant</t>
  </si>
  <si>
    <t>A BUILDING or outdoor SITE where meals are served to the public; a restaurant [AHD, "restaurant"].</t>
  </si>
  <si>
    <t>AL015-058</t>
  </si>
  <si>
    <t>Observation</t>
  </si>
  <si>
    <t>An OBSERVATION_STATION designed and equipped for making observations of astronomical, meteorological, or other natural phenomena; an observatory [SOED, "observatory", 1].</t>
  </si>
  <si>
    <t>AL015-059</t>
  </si>
  <si>
    <t>RD_Facility</t>
  </si>
  <si>
    <t>A BUILDING supporting scientific experimentation or research, including scholarly investigation or inquiry, intended to ultimately result in commercial products; a science building.</t>
  </si>
  <si>
    <t>AL015-060</t>
  </si>
  <si>
    <t>University</t>
  </si>
  <si>
    <t>The BUILDINGs and GROUNDS of an institution offering special instruction in professional and/or technical subjects, which may also include FACILITYs for research and the award of advanced degrees; a university campus or college campus.</t>
  </si>
  <si>
    <t>AL015-061</t>
  </si>
  <si>
    <t>amenity=embassy</t>
  </si>
  <si>
    <t>A BUILDING that houses the main offices of a county government; a county hall or court-house (US).</t>
  </si>
  <si>
    <t>AL015-062</t>
  </si>
  <si>
    <t>Legation</t>
  </si>
  <si>
    <t>A BUILDING in a foreign country that houses a diplomatic mission that ranks below an embassy; a legation building.</t>
  </si>
  <si>
    <t>AL015-063</t>
  </si>
  <si>
    <t>Mission</t>
  </si>
  <si>
    <t>A religious centre established in a REGION for missionary, evangelical, or humanitarian work; a mission [SOED, "mission", 4.b].</t>
  </si>
  <si>
    <t>AL015-064</t>
  </si>
  <si>
    <t>Chancery</t>
  </si>
  <si>
    <t>A BUILDING containing an office for public records; a chancery [SOED, "chancery", 3].</t>
  </si>
  <si>
    <t>AL015-065</t>
  </si>
  <si>
    <t>Ambassadorial_Residence</t>
  </si>
  <si>
    <t>A BUILDING serving as the DWELLING of a diplomatic official of the highest rank appointed and accredited as representative in residence by one government or sovereign to another; an ambassadorial residence.</t>
  </si>
  <si>
    <t>AL015-066</t>
  </si>
  <si>
    <t>Embassy</t>
  </si>
  <si>
    <t>A BUILDING housing the office of an ambassador and/or the ambassador's staff; an embassy [AHD, "embassy", 1].</t>
  </si>
  <si>
    <t>AL015-067</t>
  </si>
  <si>
    <t>Consulate</t>
  </si>
  <si>
    <t>A BUILDING housing the residence and/or official premises of an official appointed by a government to reside in a foreign country, represent its commercial interests, and assist its citizens there; a consulate.</t>
  </si>
  <si>
    <t>AL015-068</t>
  </si>
  <si>
    <t>Guard_House</t>
  </si>
  <si>
    <t>A small enclosed BUILDING accommodating a guard or serving as a DETENTION_FACILITY; a guardhouse [SOED, "guardhouse"].</t>
  </si>
  <si>
    <t>AL015-069</t>
  </si>
  <si>
    <t>Guard_Shack</t>
  </si>
  <si>
    <t>A small enclosed ROOM accommodating a guard or serving as a DETENTION_FACILITY; a guardroom [SOED, "guardroom"].</t>
  </si>
  <si>
    <t>AL015-070</t>
  </si>
  <si>
    <t>Kennel</t>
  </si>
  <si>
    <t>A STRUCTURE used for the breeding, training, or boarding of dogs; a kennel [AHD, "kennel", 3].</t>
  </si>
  <si>
    <t>AL015-071</t>
  </si>
  <si>
    <t>Oil_Mill_Vegetable</t>
  </si>
  <si>
    <t>A BUILDING that houses EQUIPMENT that releases the oils of vegetable seeds by pressing and/or grinding; a vegetable oil mill.</t>
  </si>
  <si>
    <t>AL015-072</t>
  </si>
  <si>
    <t>Aerator</t>
  </si>
  <si>
    <t>A STRUCTURE for aerating WATER by either passing AIR through WATER or passing WATER through AIR.</t>
  </si>
  <si>
    <t>AL015-073</t>
  </si>
  <si>
    <t>Carpentry</t>
  </si>
  <si>
    <t>A BUILDING in which wooden OBJECTs are manufactured or repaired; a carpentry building or a carpentry shop.</t>
  </si>
  <si>
    <t>AL015-074</t>
  </si>
  <si>
    <t>Sawmill</t>
  </si>
  <si>
    <t>A BUILDING where LOGs are processed into lumber; a sawmill.</t>
  </si>
  <si>
    <t>AL015-075</t>
  </si>
  <si>
    <t>Kiln_Oven</t>
  </si>
  <si>
    <t>An oven for hardening, burning, or drying MATERIALs (for example: grain, meal, and/or clay), especially a brick-lined oven used to bake or fire ceramics; a kiln [AHD, "kiln"].</t>
  </si>
  <si>
    <t>AL015-076</t>
  </si>
  <si>
    <t>Signalman_House</t>
  </si>
  <si>
    <t>A manned STRUCTURE located adjacent to a RAILWAY that displays control information to passing TRAINs; a signalman house.</t>
  </si>
  <si>
    <t>AL015-077</t>
  </si>
  <si>
    <t>Harbor_Master_Office</t>
  </si>
  <si>
    <t>N/A</t>
  </si>
  <si>
    <t>AL015-078</t>
  </si>
  <si>
    <t>Marine_Police</t>
  </si>
  <si>
    <t>A POLICE_STATION that serves a HARBOUR or coastal REGION; a marine police station.</t>
  </si>
  <si>
    <t>AL015-079</t>
  </si>
  <si>
    <t>Rescue</t>
  </si>
  <si>
    <t>AL015-080</t>
  </si>
  <si>
    <t>Port_Control</t>
  </si>
  <si>
    <t>AL015-081</t>
  </si>
  <si>
    <t>Maritime_Station</t>
  </si>
  <si>
    <t>AL015-082</t>
  </si>
  <si>
    <t>Lighthouse</t>
  </si>
  <si>
    <t>A distinctive STRUCTURE exhibiting one or more LIGHTs designed to serve as an AID_TO_NAVIGATION; a lighthouse.</t>
  </si>
  <si>
    <t>AL015-083</t>
  </si>
  <si>
    <t>Power_Generation</t>
  </si>
  <si>
    <t>A BUILDING and associated EQUIPMENT used for the generation of electric power; a power generation building.</t>
  </si>
  <si>
    <t>AL015-084</t>
  </si>
  <si>
    <t>Filtration_Plant</t>
  </si>
  <si>
    <t>A STRUCTURE containing layers of MATERIAL used to filter or aerate WATER; a water treatment structure.</t>
  </si>
  <si>
    <t>AL015-085</t>
  </si>
  <si>
    <t>Newspaper_Plant</t>
  </si>
  <si>
    <t>A BUILDING used in the printing, collating, storage, or distribution of a newspaper; a newspaper plant.</t>
  </si>
  <si>
    <t>AL015-086</t>
  </si>
  <si>
    <t>Telephone_Exchange</t>
  </si>
  <si>
    <t>A STRUCTURE housing a central SYSTEM of switches and other EQUIPMENT that establishes connections between individual telecommunication DEVICEs (for example: a telephone); a main telecom exchange.</t>
  </si>
  <si>
    <t>AL015-087</t>
  </si>
  <si>
    <t>Auditorium</t>
  </si>
  <si>
    <t>A large BUILDING for public meetings and/or performances; an auditorium.</t>
  </si>
  <si>
    <t>AL015-088</t>
  </si>
  <si>
    <t>Opera_House</t>
  </si>
  <si>
    <t>A BUILDING that houses a THEATRE designed chiefly for the performance of operas.</t>
  </si>
  <si>
    <t>AL015-089</t>
  </si>
  <si>
    <t>Processing_Treatment</t>
  </si>
  <si>
    <t>A BUILDING that is used for the changing or refining of a particular MATERIAL; a processing or treatment building.</t>
  </si>
  <si>
    <t>AL015-090</t>
  </si>
  <si>
    <t>Pumphouse</t>
  </si>
  <si>
    <t>A BUILDING or ROOM housing pumps for raising, compressing, or transferring fluids; a pump room or pump house (US).</t>
  </si>
  <si>
    <t>AL015-091</t>
  </si>
  <si>
    <t>Mobile_Home</t>
  </si>
  <si>
    <t>A trailer that is used as a DWELLING, has no permanent foundation, and is designed to be easily moved; a mobile home [MWCD, "mobile home"].</t>
  </si>
  <si>
    <t>AL015-092</t>
  </si>
  <si>
    <t>Weather_Station</t>
  </si>
  <si>
    <t>An OBSERVATION_STATION where meteorological data are gathered, recorded, and released; a weather station.</t>
  </si>
  <si>
    <t>AL015-093</t>
  </si>
  <si>
    <t>Dependents_Housing</t>
  </si>
  <si>
    <t>AL015-094</t>
  </si>
  <si>
    <t>Railroad_Station</t>
  </si>
  <si>
    <t>A BUILDING or stopping place along a RAILWAY for taking on and letting off passengers or for servicing; a railway station.</t>
  </si>
  <si>
    <t>AL015-095</t>
  </si>
  <si>
    <t>Hotel</t>
  </si>
  <si>
    <t>A BUILDING used to provide lodging, and usually meals and other services, for travellers and other paying guests; a hotel [AHD, "hotel"].</t>
  </si>
  <si>
    <t>AL015-096</t>
  </si>
  <si>
    <t>Diplomatic_Building</t>
  </si>
  <si>
    <t>A BUILDING that houses and/or supports the activities of an ambassador; a diplomatic building.</t>
  </si>
  <si>
    <t>AL015-097</t>
  </si>
  <si>
    <t>Trading_Post</t>
  </si>
  <si>
    <t>A SITE occupied for purposes of trade, especially in a remote and/or unsettled REGION; a trading post [SOED, "trading post"].</t>
  </si>
  <si>
    <t>AL015-098</t>
  </si>
  <si>
    <t>Shed</t>
  </si>
  <si>
    <t>A relatively small BUILDING, which usually has one or more open sides, that is typically used for storage; a shed.</t>
  </si>
  <si>
    <t>AL015-099</t>
  </si>
  <si>
    <t>Battery</t>
  </si>
  <si>
    <t>An emplacement for one or more pieces of FIELD_ARTILLERY; an artillery battery [SOED, "battery", II.4].</t>
  </si>
  <si>
    <t>AL015-100</t>
  </si>
  <si>
    <t>Medical_Center</t>
  </si>
  <si>
    <t>A FACILITY devoted to medical research and/or the practice of medicine.</t>
  </si>
  <si>
    <t>AL015-101</t>
  </si>
  <si>
    <t>Municipal_Hall</t>
  </si>
  <si>
    <t>A BUILDING that contains the offices of the public officials of a local political unit; a municipal hall.</t>
  </si>
  <si>
    <t>AL015-102</t>
  </si>
  <si>
    <t>Oil_Facilities_Building</t>
  </si>
  <si>
    <t>A BUILDING involved in the production or distribution of PETROLEUM.</t>
  </si>
  <si>
    <t>AL015-103</t>
  </si>
  <si>
    <t>Outbuilding</t>
  </si>
  <si>
    <t>A small BUILDING that is separate from but is located near a main BUILDING; an outbuilding.</t>
  </si>
  <si>
    <t>AL015-104</t>
  </si>
  <si>
    <t>Paper_Pulp_Mill</t>
  </si>
  <si>
    <t>A FACILITY for processing natural fibres (for example: wood) into flexible sheets or rolls of paper by deposit from an aqueous suspension; a paper-mill.</t>
  </si>
  <si>
    <t>AL015-105</t>
  </si>
  <si>
    <t>Reformatory</t>
  </si>
  <si>
    <t>A BUILDING used for the discipline, reformation, and training of young and/or first offenders; a reformatory building.</t>
  </si>
  <si>
    <t>AL015-106</t>
  </si>
  <si>
    <t>Sanitarium</t>
  </si>
  <si>
    <t>A FACILITY that houses an institution for the treatment of chronic diseases or for medically supervised recuperation; a sanatorium.</t>
  </si>
  <si>
    <t>AL015-107</t>
  </si>
  <si>
    <t>Tracking_Station</t>
  </si>
  <si>
    <t>A STRUCTURE with an associated AERIAL used for tracking, control, transmission, and/or reception of signals from ARTIFICIAL_SATELLITEs; a satellite ground station.</t>
  </si>
  <si>
    <t>AL015-108</t>
  </si>
  <si>
    <t>Seminary</t>
  </si>
  <si>
    <t>A FACILITY used as a school, especially a theological school, for the training of priests, ministers, or rabbis; a seminary [AHD, "seminary", 1.a].</t>
  </si>
  <si>
    <t>AL015-109</t>
  </si>
  <si>
    <t>Sr_Citizen_Home</t>
  </si>
  <si>
    <t>A residential BUILDING housing a group of elderly HUMANs; a senior citizens home.</t>
  </si>
  <si>
    <t>AL015-110</t>
  </si>
  <si>
    <t>Shipyard</t>
  </si>
  <si>
    <t>A SITE where VESSELs are built or repaired; a shipyard [SOED, "shipyard"].</t>
  </si>
  <si>
    <t>AL015-111</t>
  </si>
  <si>
    <t>Sportsplex</t>
  </si>
  <si>
    <t>An arena with tiered seats or terraces for spectators of athletic or sporting events [SOED, "stadium", 3].</t>
  </si>
  <si>
    <t>AL015-112</t>
  </si>
  <si>
    <t>Steel_Mill</t>
  </si>
  <si>
    <t>A FACILITY for the production of fabricated structural steel products (for example: girders and/or plates); a steel mill.</t>
  </si>
  <si>
    <t>AL015-113</t>
  </si>
  <si>
    <t>Weigh_Scale</t>
  </si>
  <si>
    <t>EQUIPMENT, which is usually located alongside a ROAD, that is used to determine the weight of GROUND_VEHICLEs; a scale.</t>
  </si>
  <si>
    <t>AL015-114</t>
  </si>
  <si>
    <t>House_of_Worship-NC</t>
  </si>
  <si>
    <t>AL015-115</t>
  </si>
  <si>
    <t>Hostel</t>
  </si>
  <si>
    <t>A BUILDING used to provide supervised, inexpensive lodging for travellers, especially young travellers; a hostel [AHD, "hostel", 1].</t>
  </si>
  <si>
    <t>AL015-116</t>
  </si>
  <si>
    <t>Factory</t>
  </si>
  <si>
    <t>A BUILDING containing EQUIPMENT for use in manufacturing; a factory [SOED, "factory", 3].</t>
  </si>
  <si>
    <t>AL015-117</t>
  </si>
  <si>
    <t>Motel</t>
  </si>
  <si>
    <t>A BUILDING used to provide lodging for motorists in ROOMs usually having direct access to an open VEHICLE_LOT; a motel [AHD, "motel"], motor court, or motor lodge.</t>
  </si>
  <si>
    <t>AL015-118</t>
  </si>
  <si>
    <t>Community_Center</t>
  </si>
  <si>
    <t>A BUILDING used for recreational exercise and minor sports competitions, which typically serves a small TOWN, community, or local BUILT_UP_REGION; a community recreation building or a community centre.</t>
  </si>
  <si>
    <t>AL015-119</t>
  </si>
  <si>
    <t>City_Hall</t>
  </si>
  <si>
    <t>The MUNICIPAL_HALL of a CITY.</t>
  </si>
  <si>
    <t>AL015-120</t>
  </si>
  <si>
    <t>Automobile_Plant</t>
  </si>
  <si>
    <t>A HEAVY_INDUSTRIAL_FACILITY used for the purpose of manufacturing MOTOR_VEHICLEs; an automotive plant.</t>
  </si>
  <si>
    <t>AL015-121</t>
  </si>
  <si>
    <t>Armory</t>
  </si>
  <si>
    <t>A BUILDING for storing arms and military EQUIPMENT, especially one serving as headquarters for reserve MILITARY_PERSONNEL; an armoury [AHD, "armory", 1.b].</t>
  </si>
  <si>
    <t>AL015-122</t>
  </si>
  <si>
    <t>Shopping_Center</t>
  </si>
  <si>
    <t>A group of RETAIL_FACILITYs, often including RESTAURANTs and other businesses, having a common VEHICLE_LOT; a shopping centre [AHD, "shopping center"].</t>
  </si>
  <si>
    <t>AL015-123</t>
  </si>
  <si>
    <t>Correctional_Institute</t>
  </si>
  <si>
    <t>A FACILITY including one or more CORRECTIONAL_BUILDINGs; a correctional facility.</t>
  </si>
  <si>
    <t>AL015-124</t>
  </si>
  <si>
    <t>Repair_Facility</t>
  </si>
  <si>
    <t>A BUILDING used for restoring broken and/or damaged goods (for example: EQUIPMENT) to sound condition; a repair building.</t>
  </si>
  <si>
    <t>AL015-125</t>
  </si>
  <si>
    <t>Machinery_Shed</t>
  </si>
  <si>
    <t>AL015-126</t>
  </si>
  <si>
    <t>Astronomical_Station</t>
  </si>
  <si>
    <t>A STRUCTURE used for the scientific study of matter in SPACE, especially the LOCATIONs, dimensions, distribution, motion, composition, energy, and evolution of CELESTIAL_BODYs or celestial phenomena; an astronomical station.</t>
  </si>
  <si>
    <t>AL015-127</t>
  </si>
  <si>
    <t>Theater</t>
  </si>
  <si>
    <t>A BUILDING, ROOM, or outdoor STRUCTURE used for the presentation of plays, films, or other dramatic performances; a theatre [AHD, "theater", 1].</t>
  </si>
  <si>
    <t>AL015-128</t>
  </si>
  <si>
    <t>Library</t>
  </si>
  <si>
    <t>A BUILDING in which literary and artistic materials (for example: books, periodicals, newspapers, pamphlets, prints, records, and/or tapes) are kept for reading, reference, and/or lending; a library [AHD, "library", 1.a].</t>
  </si>
  <si>
    <t>AL015-129</t>
  </si>
  <si>
    <t>Airport_Terminal</t>
  </si>
  <si>
    <t>A BUILDING located at an AERODROME used for disembarking and/or taking on passengers or CARGO; an aerodrome terminal.</t>
  </si>
  <si>
    <t>AL015-130</t>
  </si>
  <si>
    <t>Bus_Station</t>
  </si>
  <si>
    <t>A STRUCTURE, usually in a TOWN or CITY, that serves as a BUS_STOP, especially for long-distance buses or coaches; a bus station [SOED, "bus station"].</t>
  </si>
  <si>
    <t>AL015-131</t>
  </si>
  <si>
    <t>Pilot_Office</t>
  </si>
  <si>
    <t>AL015-132</t>
  </si>
  <si>
    <t>Pilot_Lookout</t>
  </si>
  <si>
    <t>AL015-133</t>
  </si>
  <si>
    <t>Commercial_Building</t>
  </si>
  <si>
    <t>A BUILDING used to conduct business activities; a commercial building.</t>
  </si>
  <si>
    <t>AL015-134</t>
  </si>
  <si>
    <t>Fort</t>
  </si>
  <si>
    <t>A permanently fortified STRUCTURE that may be stationed with MILITARY_PERSONNEL and is generally walled or heavily fenced with overwatch positions; a fort.</t>
  </si>
  <si>
    <t>AL015-135</t>
  </si>
  <si>
    <t>Blockhouse</t>
  </si>
  <si>
    <t>A military FORTIFICATION constructed of sturdy MATERIALs (for example: concrete) and designed with WALL_LOOPHOLEs; a blockhouse [SOED, "blockhouse", a].</t>
  </si>
  <si>
    <t>AL015-136</t>
  </si>
  <si>
    <t>Martello_Tower</t>
  </si>
  <si>
    <t>A stone TOWER defending a COAST or HARBOUR and usually including a gun platform, ammunition magazine, and accommodations for a garrison; a Martello tower.</t>
  </si>
  <si>
    <t>AL015-137</t>
  </si>
  <si>
    <t>Guard_Tower</t>
  </si>
  <si>
    <t>An elevated enclosed BUILDING including one or more GUARDROOMs; a guard tower.</t>
  </si>
  <si>
    <t>AL015-138</t>
  </si>
  <si>
    <t>Jetway</t>
  </si>
  <si>
    <t>An enclosed, movable connector which extends from an airport terminal gate to an airplane, allowing passengers to board and disembark without going outside.</t>
  </si>
  <si>
    <t>AL015-723</t>
  </si>
  <si>
    <t>Fire_and_Police_Station</t>
  </si>
  <si>
    <t>A PUBLIC_SERVICE_STATION that houses both a FIRE_STATION and a POLICE_STATION.</t>
  </si>
  <si>
    <t>AL015-999</t>
  </si>
  <si>
    <t>An INDUSTRIAL_WORKS for purifying ores (for example: copper and/or silver) and extracting from them various metal and chemical products; an ore refinery.</t>
  </si>
  <si>
    <t>AL017-000</t>
  </si>
  <si>
    <t>Fire_Hydrant</t>
  </si>
  <si>
    <t>An apparatus for drawing water directly from a main, especially alongside a street or road, consisting of a pipe with one or more nozzles or spouts, to which a hose of a fire-engine may be attached.</t>
  </si>
  <si>
    <t>A_Culture\L_Misc_Feature\017_Fire_Hydrant</t>
  </si>
  <si>
    <t>AL018-000</t>
  </si>
  <si>
    <t>Building_Addition</t>
  </si>
  <si>
    <t>A supplemental portion of a building which rises from the roof but is not considered to be part of the general roof line.</t>
  </si>
  <si>
    <t>A_Culture\L_Misc_Feature\018_Building_Addition</t>
  </si>
  <si>
    <t>AL019-000</t>
  </si>
  <si>
    <t>A storage facility usually characterized by one or more open sides, support pillars and a roof.</t>
  </si>
  <si>
    <t>A_Culture\L_Misc_Feature\019_Shed</t>
  </si>
  <si>
    <t>AL020-000</t>
  </si>
  <si>
    <t>Built-Up_Area</t>
  </si>
  <si>
    <t>An area containing a concentration of buildings and other structures.</t>
  </si>
  <si>
    <t>A_Culture\L_Misc_Feature\020_Built-Up_Area</t>
  </si>
  <si>
    <t>AL021-000</t>
  </si>
  <si>
    <t>Built-up_Area-Hist</t>
  </si>
  <si>
    <t>An area that constitutes a concentration of historical buildings or other historical structures within a built up area.</t>
  </si>
  <si>
    <t>A_Culture\L_Misc_Feature\021_Built-up_Area-Hist</t>
  </si>
  <si>
    <t>AL022-000</t>
  </si>
  <si>
    <t>Populated_Place</t>
  </si>
  <si>
    <t>A named area where people live and/or work.</t>
  </si>
  <si>
    <t>A_Culture\L_Misc_Feature\022_Populated_Place</t>
  </si>
  <si>
    <t>AL025-000</t>
  </si>
  <si>
    <t>Cairn</t>
  </si>
  <si>
    <t>A heap of stones piled up as a memorial or a landmark. (See also AL090 and AL130)</t>
  </si>
  <si>
    <t>A_Culture\L_Misc_Feature\025_Cairn</t>
  </si>
  <si>
    <t>AL030-000</t>
  </si>
  <si>
    <t>Cemetery</t>
  </si>
  <si>
    <t>An area of land for burying the dead.</t>
  </si>
  <si>
    <t>A_Culture\L_Misc_Feature\030_Cemetery</t>
  </si>
  <si>
    <t>AL035-000</t>
  </si>
  <si>
    <t>Grave</t>
  </si>
  <si>
    <t>A site where a corpse is buried.</t>
  </si>
  <si>
    <t>A_Culture\L_Misc_Feature\035_Grave</t>
  </si>
  <si>
    <t>AL036-000</t>
  </si>
  <si>
    <t>Tomb</t>
  </si>
  <si>
    <t>A structure within which a corpse is entombed.</t>
  </si>
  <si>
    <t>A_Culture\L_Misc_Feature\036_Tomb</t>
  </si>
  <si>
    <t>AL040-000</t>
  </si>
  <si>
    <t>Cliff_Dwelling</t>
  </si>
  <si>
    <t>A dwelling built in the recesses of cliffs. (See also AL250)</t>
  </si>
  <si>
    <t>A_Culture\L_Misc_Feature\040_Cliff_Dwelling</t>
  </si>
  <si>
    <t>AL045-000</t>
  </si>
  <si>
    <t>Complex_Outline</t>
  </si>
  <si>
    <t>An outline delimiting an area in which two or more like features have the same function.</t>
  </si>
  <si>
    <t>A_Culture\L_Misc_Feature\045_Complex_Outline</t>
  </si>
  <si>
    <t>AL050-000</t>
  </si>
  <si>
    <t>Display_Sign</t>
  </si>
  <si>
    <t>An upright panel used to convey visual information. (See also AL080)</t>
  </si>
  <si>
    <t>A_Culture\L_Misc_Feature\050_Display_Sign</t>
  </si>
  <si>
    <t>AL060-000</t>
  </si>
  <si>
    <t>Dragon_Teeth</t>
  </si>
  <si>
    <t>Regularly spaced concrete or metal barriers laid in single or multiple rows to prevent vehicle movement.</t>
  </si>
  <si>
    <t>A_Culture\L_Misc_Feature\060_Dragon_Teeth</t>
  </si>
  <si>
    <t>AL065-000</t>
  </si>
  <si>
    <t>Minefield</t>
  </si>
  <si>
    <t>A site laid with explosive mines.</t>
  </si>
  <si>
    <t>A_Culture\L_Misc_Feature\065_Minefield</t>
  </si>
  <si>
    <t>AL070-000</t>
  </si>
  <si>
    <t>Fence</t>
  </si>
  <si>
    <t>A man-made barrier of relatively light structure used as an enclosure or boundary. (See also AL260)</t>
  </si>
  <si>
    <t>A_Culture\L_Misc_Feature\070_Fence</t>
  </si>
  <si>
    <t>AL073-000</t>
  </si>
  <si>
    <t>Flagstaff</t>
  </si>
  <si>
    <t>A staff or pole on which a flag is raised.</t>
  </si>
  <si>
    <t>A_Culture\L_Misc_Feature\073_Flagstaff</t>
  </si>
  <si>
    <t>AL075-000</t>
  </si>
  <si>
    <t>Gallery</t>
  </si>
  <si>
    <t>A sunken or cut passageway along a transportation route in mountainous regions constructed to protect vehicles from the elements. A series of openings on one side may be present for light or ventilation.</t>
  </si>
  <si>
    <t>A_Culture\L_Misc_Feature\075_Gallery</t>
  </si>
  <si>
    <t>AL080-000</t>
  </si>
  <si>
    <t>Gantry</t>
  </si>
  <si>
    <t>A frame structure raised on side supports so as to span over or around something. (See also AL050)</t>
  </si>
  <si>
    <t>A_Culture\L_Misc_Feature\080_Gantry</t>
  </si>
  <si>
    <t>AL090-000</t>
  </si>
  <si>
    <t>Grave_Marker</t>
  </si>
  <si>
    <t>A marker indicating an individual grave site. (See also AL025 and AL130)</t>
  </si>
  <si>
    <t>A_Culture\L_Misc_Feature\090_Grave_Marker</t>
  </si>
  <si>
    <t>AL095-000</t>
  </si>
  <si>
    <t>Homogeneous_Radar_Sig_Area</t>
  </si>
  <si>
    <t>A cluster of structures that combine to form a homogeneous area when grouped according to a common radar reflectance and a common height value.</t>
  </si>
  <si>
    <t>A_Culture\L_Misc_Feature\095_Homogeneous_Radar_Sig_Area</t>
  </si>
  <si>
    <t>AL099-000</t>
  </si>
  <si>
    <t>Hut</t>
  </si>
  <si>
    <t>A small, simple free-standing (detached) self-contained residence usually having only a single multi-function room.</t>
  </si>
  <si>
    <t>A_Culture\L_Misc_Feature\099_Hut</t>
  </si>
  <si>
    <t>AL100-000</t>
  </si>
  <si>
    <t>A small simple or crude house or shelter. (See also AL015)</t>
  </si>
  <si>
    <t>A_Culture\L_Misc_Feature\100_Hut</t>
  </si>
  <si>
    <t>AL101-000</t>
  </si>
  <si>
    <t>Cabin</t>
  </si>
  <si>
    <t>A building in a remote or wilderness area.</t>
  </si>
  <si>
    <t>A_Culture\L_Misc_Feature\101_Cabin</t>
  </si>
  <si>
    <t>AL105-000</t>
  </si>
  <si>
    <t>Settlement</t>
  </si>
  <si>
    <t>A concentration of small dwellings.</t>
  </si>
  <si>
    <t>A_Culture\L_Misc_Feature\105_Settlement</t>
  </si>
  <si>
    <t>AL110-000</t>
  </si>
  <si>
    <t>Light_Standard</t>
  </si>
  <si>
    <t>A structure serving as a support for lighting.</t>
  </si>
  <si>
    <t>A_Culture\L_Misc_Feature\110_Light_Standard</t>
  </si>
  <si>
    <t>AL116-000</t>
  </si>
  <si>
    <t>Calvary_Cross</t>
  </si>
  <si>
    <t>A structure, mounted on a pedestal, composed of an upright member with a shorter horizontal member centered at approximately two thirds of the height of the upright member.</t>
  </si>
  <si>
    <t>A_Culture\L_Misc_Feature\116_Calvary_Cross</t>
  </si>
  <si>
    <t>AL120</t>
  </si>
  <si>
    <t>A_Culture\L_Misc_Feature\120_Missile_Site</t>
  </si>
  <si>
    <t>AL120-000</t>
  </si>
  <si>
    <t>Missile_Site_Generic</t>
  </si>
  <si>
    <t>An area with related facilities for storing and launching missiles.</t>
  </si>
  <si>
    <t>AL120-001</t>
  </si>
  <si>
    <t>ABM</t>
  </si>
  <si>
    <t>A SITE and related FACILITYs for storing and launching ABM MISSILEs; a missile site.</t>
  </si>
  <si>
    <t>AL120-002</t>
  </si>
  <si>
    <t>ICBM</t>
  </si>
  <si>
    <t>A SITE and related FACILITYs for storing and launching ICBM MISSILEs; a missile site.</t>
  </si>
  <si>
    <t>AL120-003</t>
  </si>
  <si>
    <t>IRBM</t>
  </si>
  <si>
    <t>A SITE and related FACILITYs for storing and launching IRBM MISSILEs; a missile site.</t>
  </si>
  <si>
    <t>AL120-004</t>
  </si>
  <si>
    <t>SA1</t>
  </si>
  <si>
    <t>A SITE and related FACILITYs for storing and launching SA1 MISSILEs; a missile site.</t>
  </si>
  <si>
    <t>AL120-005</t>
  </si>
  <si>
    <t>SA2</t>
  </si>
  <si>
    <t>A SITE and related FACILITYs for storing and launching SA2 MISSILEs; a missile site.</t>
  </si>
  <si>
    <t>AL120-006</t>
  </si>
  <si>
    <t>SA3</t>
  </si>
  <si>
    <t>A SITE and related FACILITYs for storing and launching SA3 MISSILEs; a missile site.</t>
  </si>
  <si>
    <t>AL120-007</t>
  </si>
  <si>
    <t>SA4</t>
  </si>
  <si>
    <t>A SITE and related FACILITYs for storing and launching SA4 MISSILEs; a missile site.</t>
  </si>
  <si>
    <t>AL120-008</t>
  </si>
  <si>
    <t>SA5</t>
  </si>
  <si>
    <t>A SITE and related FACILITYs for storing and launching SA5 MISSILEs; a missile site.</t>
  </si>
  <si>
    <t>AL120-009</t>
  </si>
  <si>
    <t>SA6</t>
  </si>
  <si>
    <t>A SITE and related FACILITYs for storing and launching SA6 MISSILEs; a missile site.</t>
  </si>
  <si>
    <t>AL120-010</t>
  </si>
  <si>
    <t>SA7</t>
  </si>
  <si>
    <t>A SITE and related FACILITYs for storing and launching SA7 MISSILEs; a missile site.</t>
  </si>
  <si>
    <t>AL120-011</t>
  </si>
  <si>
    <t>SA8</t>
  </si>
  <si>
    <t>A SITE and related FACILITYs for storing and launching SA8 MISSILEs; a missile site.</t>
  </si>
  <si>
    <t>AL120-012</t>
  </si>
  <si>
    <t>SA9</t>
  </si>
  <si>
    <t>A SITE and related FACILITYs for storing and launching SA9 MISSILEs; a missile site.</t>
  </si>
  <si>
    <t>AL120-013</t>
  </si>
  <si>
    <t>MRBM</t>
  </si>
  <si>
    <t>A SITE and related FACILITYs for storing and launching MRBM MISSILEs; a missile site.</t>
  </si>
  <si>
    <t>AL120-014</t>
  </si>
  <si>
    <t>SSM</t>
  </si>
  <si>
    <t>A SITE and related FACILITYs for storing and launching SSM MISSILEs; a missile site.</t>
  </si>
  <si>
    <t>AL120-015</t>
  </si>
  <si>
    <t>SAM</t>
  </si>
  <si>
    <t>A SITE and related FACILITYs for storing and launching SAM MISSILEs; a missile site.</t>
  </si>
  <si>
    <t>AL120-999</t>
  </si>
  <si>
    <t>A SITE and related FACILITYs for storing and launching other type of MISSILEs; a missile site.</t>
  </si>
  <si>
    <t>AL121-000</t>
  </si>
  <si>
    <t>Anti_Aircraft_Artillery_Site</t>
  </si>
  <si>
    <t>A site and related facilities (for example: buildings and/or radar equipment) for storing and launching anti-aircraft artillery.</t>
  </si>
  <si>
    <t>A_Culture\L_Misc_Feature\121_Anti_Aircraft_Artillery_Site</t>
  </si>
  <si>
    <t>AL130-000</t>
  </si>
  <si>
    <t>Monument</t>
  </si>
  <si>
    <t>A structure erected or maintained as a memorial to a person or event. (See also AL025 and AL090)</t>
  </si>
  <si>
    <t>A_Culture\L_Misc_Feature\130_Monument</t>
  </si>
  <si>
    <t>AL135-000</t>
  </si>
  <si>
    <t>Native_Settlement</t>
  </si>
  <si>
    <t>A concentration of native dwellings, generally of the hut type, which are not usually of substantial construction.</t>
  </si>
  <si>
    <t>A_Culture\L_Misc_Feature\135_Native_Settlement</t>
  </si>
  <si>
    <t>AL140-000</t>
  </si>
  <si>
    <t>Particle_Accelerator</t>
  </si>
  <si>
    <t>An apparatus for imparting high velocities to charged particles.</t>
  </si>
  <si>
    <t>A_Culture\L_Misc_Feature\140_Particle_Accelerator</t>
  </si>
  <si>
    <t>AL141-000</t>
  </si>
  <si>
    <t>Telescope</t>
  </si>
  <si>
    <t>An apparatus used for observing distant objects or phenomena.</t>
  </si>
  <si>
    <t>A_Culture\L_Misc_Feature\141_Telescope</t>
  </si>
  <si>
    <t>AL142-000</t>
  </si>
  <si>
    <t>Astronomical_Observatory</t>
  </si>
  <si>
    <t>A building designed and equipped (for example: with a telescope) for making observations of celestial objects (including the earth in relation to them), of space, and of the universe as a whole.</t>
  </si>
  <si>
    <t>A_Culture\L_Misc_Feature\142_Astronomical_Observatory</t>
  </si>
  <si>
    <t>AL155-000</t>
  </si>
  <si>
    <t>Overhead</t>
  </si>
  <si>
    <t>An undelineated obstruction location such as underpasses, overhead pipelines, building overhangs, and other covered traveled ways.</t>
  </si>
  <si>
    <t>A_Culture\L_Misc_Feature\155_Overhead</t>
  </si>
  <si>
    <t>AL165-000</t>
  </si>
  <si>
    <t>Pipeline_Crossing_Point</t>
  </si>
  <si>
    <t>A traversable site extending across a pipeline that acts as a passageway for cross-country movement of vehicles or troops.</t>
  </si>
  <si>
    <t>A_Culture\L_Misc_Feature\165_Pipeline_Crossing_Point</t>
  </si>
  <si>
    <t>AL170-000</t>
  </si>
  <si>
    <t>Plaza</t>
  </si>
  <si>
    <t>An open area which serves as a public square in a city or town. (See also AK120)</t>
  </si>
  <si>
    <t>A_Culture\L_Misc_Feature\170_Plaza</t>
  </si>
  <si>
    <t>AL175-000</t>
  </si>
  <si>
    <t>Courtyard</t>
  </si>
  <si>
    <t>An open area that is open to the sky and surrounded by walls or buildings forming the precincts of a larger facility (for example: an extended house, a castle, or a homestead), often in the form of an area that is enclosed by a single building.</t>
  </si>
  <si>
    <t>A_Culture\L_Misc_Feature\175_Courtyard</t>
  </si>
  <si>
    <t>AL180-000</t>
  </si>
  <si>
    <t>Retail_Stand</t>
  </si>
  <si>
    <t>A small structure that stands alone, and is designated for the purpose of supplying a product (for example: souvenirs, magazines, snacks or refreshments) or service (for example: a shoe shine) to passers-by.</t>
  </si>
  <si>
    <t>A_Culture\L_Misc_Feature\180_Retail_Stand</t>
  </si>
  <si>
    <t>AL195-000</t>
  </si>
  <si>
    <t>Ramp</t>
  </si>
  <si>
    <t>An inclined plane usually man-made for moving between two levels. (See also BB240)</t>
  </si>
  <si>
    <t>A_Culture\L_Misc_Feature\195_Ramp</t>
  </si>
  <si>
    <t>AL200-000</t>
  </si>
  <si>
    <t>Ruins</t>
  </si>
  <si>
    <t>The deteriorated remains of an unspecified structure. (See also AL012)</t>
  </si>
  <si>
    <t>A_Culture\L_Misc_Feature\200_Ruins</t>
  </si>
  <si>
    <t>AL201-000</t>
  </si>
  <si>
    <t>Historic</t>
  </si>
  <si>
    <t>Site or area declared to be of national or provincial historical significance or interest, maintained for the public.</t>
  </si>
  <si>
    <t>A_Culture\L_Misc_Feature\201_Historic</t>
  </si>
  <si>
    <t>AL208-000</t>
  </si>
  <si>
    <t>Shanty_Town</t>
  </si>
  <si>
    <t>A section of a built-up area consisting chiefly of densely packed shacks and having few, if any, streets and no public facilities.</t>
  </si>
  <si>
    <t>A_Culture\L_Misc_Feature\208_Shanty_Town</t>
  </si>
  <si>
    <t>AL209-000</t>
  </si>
  <si>
    <t>Tent_Encampment</t>
  </si>
  <si>
    <t>An encampment of people housed in tents.</t>
  </si>
  <si>
    <t>A_Culture\L_Misc_Feature\209_Tent_Encampment</t>
  </si>
  <si>
    <t>AL210-000</t>
  </si>
  <si>
    <t>Snow_Shed</t>
  </si>
  <si>
    <t>A shelter build to protect a section of road or railroad from snow/rock slides.</t>
  </si>
  <si>
    <t>A_Culture\L_Misc_Feature\210_Snow_Shed</t>
  </si>
  <si>
    <t>AL211-000</t>
  </si>
  <si>
    <t>Trans_Route_Protect_Struct</t>
  </si>
  <si>
    <t>A structure built over and/or along a transportation route designed to prevent damage to, or blockage of, the route from rock slides, snow slides and/or weather phenomena.</t>
  </si>
  <si>
    <t>A_Culture\L_Misc_Feature\211_Trans_Route_Protect_Struct</t>
  </si>
  <si>
    <t>AL220-000</t>
  </si>
  <si>
    <t>Steeple</t>
  </si>
  <si>
    <t>A structure usually ending in a sharp point and which may be erected on a roof of a building.</t>
  </si>
  <si>
    <t>A_Culture\L_Misc_Feature\220_Steeple</t>
  </si>
  <si>
    <t>AL240-000</t>
  </si>
  <si>
    <t>Tower-NC</t>
  </si>
  <si>
    <t>A relatively tall structure which may be used for observation, support, or storage, etc. (See also AF030, AM080, AQ060, and BI050)</t>
  </si>
  <si>
    <t>A_Culture\L_Misc_Feature\240_Tower-NC</t>
  </si>
  <si>
    <t>AL241</t>
  </si>
  <si>
    <t>A_Culture\L_Misc_Feature\241_Tower_General</t>
  </si>
  <si>
    <t>AL241-000</t>
  </si>
  <si>
    <t>Tower_Generic</t>
  </si>
  <si>
    <t>A relatively tall, narrow structure that may either stand alone or may form part of another structure.</t>
  </si>
  <si>
    <t>AL241-001</t>
  </si>
  <si>
    <t>Bridge</t>
  </si>
  <si>
    <t>A type of Tower, a Bridge tower.</t>
  </si>
  <si>
    <t>AL241-002</t>
  </si>
  <si>
    <t>A type of Tower, an Observation tower.</t>
  </si>
  <si>
    <t>AL241-004</t>
  </si>
  <si>
    <t>Undefined</t>
  </si>
  <si>
    <t>An undefined type of TOWER.</t>
  </si>
  <si>
    <t>AL241-005</t>
  </si>
  <si>
    <t>Light_Tower</t>
  </si>
  <si>
    <t>A type of Tower, a Light_Tower.</t>
  </si>
  <si>
    <t>AL241-006</t>
  </si>
  <si>
    <t>Water_Tower</t>
  </si>
  <si>
    <t>A type of Tower, a Water_Tower.</t>
  </si>
  <si>
    <t>AL241-007</t>
  </si>
  <si>
    <t>Radio_Tower</t>
  </si>
  <si>
    <t>A type of Tower, a Radio_Tower.</t>
  </si>
  <si>
    <t>AL241-008</t>
  </si>
  <si>
    <t>A type of Tower, a Cooling_Tower.</t>
  </si>
  <si>
    <t>AL241-009</t>
  </si>
  <si>
    <t>Radar_Tower</t>
  </si>
  <si>
    <t>A type of Tower, a Radar_Tower.</t>
  </si>
  <si>
    <t>AL241-010</t>
  </si>
  <si>
    <t>Lookout_Tower</t>
  </si>
  <si>
    <t>A type of Tower, a Lookout_Tower.</t>
  </si>
  <si>
    <t>AL241-011</t>
  </si>
  <si>
    <t>Television_Tower</t>
  </si>
  <si>
    <t>A type of Tower, a Television_Tower.</t>
  </si>
  <si>
    <t>AL241-012</t>
  </si>
  <si>
    <t>Fire_Tower</t>
  </si>
  <si>
    <t>A type of Tower, a Fire_Tower.</t>
  </si>
  <si>
    <t>AL241-013</t>
  </si>
  <si>
    <t>Mooring_Tower</t>
  </si>
  <si>
    <t>A type of Tower, a Mooring_Tower.</t>
  </si>
  <si>
    <t>AL241-014</t>
  </si>
  <si>
    <t>Powerline_Tower</t>
  </si>
  <si>
    <t>A type of Tower, a Powerline_Tower.</t>
  </si>
  <si>
    <t>AL241-015</t>
  </si>
  <si>
    <t>Loran</t>
  </si>
  <si>
    <t>A type of Tower, a Loran tower.</t>
  </si>
  <si>
    <t>AL241-016</t>
  </si>
  <si>
    <t>Control</t>
  </si>
  <si>
    <t>A type of Tower, a Control tower.</t>
  </si>
  <si>
    <t>AL241-017</t>
  </si>
  <si>
    <t>Microwave</t>
  </si>
  <si>
    <t>A type of Tower, a Microwave tower.</t>
  </si>
  <si>
    <t>AL241-999</t>
  </si>
  <si>
    <t>A type of Tower, other than those listed above.</t>
  </si>
  <si>
    <t>AL250-000</t>
  </si>
  <si>
    <t>Undergrd_Dwelling</t>
  </si>
  <si>
    <t>Underground living quarters. (See also AL040)</t>
  </si>
  <si>
    <t>A_Culture\L_Misc_Feature\250_Undergrd_Dwelling</t>
  </si>
  <si>
    <t>AL260-000</t>
  </si>
  <si>
    <t>Wall</t>
  </si>
  <si>
    <t>A solid man-made barrier of heavy material used as an enclosure or boundary or for protection. (See also AL070)</t>
  </si>
  <si>
    <t>A_Culture\L_Misc_Feature\260_Wall</t>
  </si>
  <si>
    <t>AL270-000</t>
  </si>
  <si>
    <t>Industrial_Farm</t>
  </si>
  <si>
    <t>An estate or large farm operating on the plantation economy model in which the farm operates as a single economic unit whose operations are based on agricultural mass production of a few staple crops (for example: cotton, tobacco, sugar cane, bananas, and/or rubber) that are typically not indigenous to the region.</t>
  </si>
  <si>
    <t>A_Culture\L_Misc_Feature\270_Industrial_Farm</t>
  </si>
  <si>
    <t>AL330-000</t>
  </si>
  <si>
    <t>Religious_Facility</t>
  </si>
  <si>
    <t>A facility, building, structure or site that was designed and designated to be used for religious activities.</t>
  </si>
  <si>
    <t>A_Culture\L_Misc_Feature\330_Religious_Facility</t>
  </si>
  <si>
    <t>AL351-000</t>
  </si>
  <si>
    <t>Space_Facility</t>
  </si>
  <si>
    <t>A facility that is used to support space related activities (for example: services such as assembly, launching or recovery of spacecraft or managing flight operations).</t>
  </si>
  <si>
    <t>A_Culture\L_Misc_Feature\351_Space_Facility</t>
  </si>
  <si>
    <t>AL370-000</t>
  </si>
  <si>
    <t>Country_House</t>
  </si>
  <si>
    <t>A house that is large and impressive enough to be considered a mansion (for example: having several dozen rooms) and is located on a large estate in the country and is occupied as the private residence of the landowner.</t>
  </si>
  <si>
    <t>A_Culture\L_Misc_Feature\370_Country_House</t>
  </si>
  <si>
    <t>AL375-000</t>
  </si>
  <si>
    <t>A large fortified building or group of buildings that has thick walls, battlements, and often a moat.</t>
  </si>
  <si>
    <t>A_Culture\L_Misc_Feature\375_Castle</t>
  </si>
  <si>
    <t>AL510-000</t>
  </si>
  <si>
    <t>Tethered_Balloon</t>
  </si>
  <si>
    <t>A balloon that is tethered to the ground at an anchoring device (for example: a ring and pad) or substantial structure (for example: a mooring tower).</t>
  </si>
  <si>
    <t>A_Culture\L_Misc_Feature\510_Tethered_Balloon</t>
  </si>
  <si>
    <t>AM010-000</t>
  </si>
  <si>
    <t>Depot</t>
  </si>
  <si>
    <t>An area used for the storage of products or supplies. (See also AB000)</t>
  </si>
  <si>
    <t>A_Culture\M_Storage\010_Depot</t>
  </si>
  <si>
    <t>AM011-000</t>
  </si>
  <si>
    <t>Container</t>
  </si>
  <si>
    <t>A closed structure used for the storage and containment of solid, liquid or gaseous materials. (See also AM020, AM070, and AM080)</t>
  </si>
  <si>
    <t>A_Culture\M_Storage\011_Container</t>
  </si>
  <si>
    <t>AM020-000</t>
  </si>
  <si>
    <t>Grain_Silo</t>
  </si>
  <si>
    <t>An enclosed container, used for storing grain or fodder. (See also AM011, AM070, and AM080)</t>
  </si>
  <si>
    <t>A_Culture\M_Storage\020_Grain_Silo</t>
  </si>
  <si>
    <t>AM030-000</t>
  </si>
  <si>
    <t>Grain_Elevator</t>
  </si>
  <si>
    <t>A tall structure, equipped for loading, unloading, processing and storing grain.</t>
  </si>
  <si>
    <t>A_Culture\M_Storage\030_Grain_Elevator</t>
  </si>
  <si>
    <t>AM031-000</t>
  </si>
  <si>
    <t>Timber_Yard</t>
  </si>
  <si>
    <t>An open area for the storage of wooden lumber and timbers.</t>
  </si>
  <si>
    <t>A_Culture\M_Storage\031_Timber_Yard</t>
  </si>
  <si>
    <t>AM040-000</t>
  </si>
  <si>
    <t>Mineral_Pile</t>
  </si>
  <si>
    <t>A man-made heap of mining or quarrying products excluding waste materials. (See also AB000)</t>
  </si>
  <si>
    <t>A_Culture\M_Storage\040_Mineral_Pile</t>
  </si>
  <si>
    <t>AM042-000</t>
  </si>
  <si>
    <t>Material_Pile</t>
  </si>
  <si>
    <t>A man-made heap of material(s) of unspecified nature.</t>
  </si>
  <si>
    <t>A_Culture\M_Storage\042_Material_Pile</t>
  </si>
  <si>
    <t>AM060</t>
  </si>
  <si>
    <t>A_Culture\M_Storage\060_Storage</t>
  </si>
  <si>
    <t>AM060-000</t>
  </si>
  <si>
    <t>Storage_Generic</t>
  </si>
  <si>
    <t>A STRUCTURE intended for storing MATERIALs or products; a storage structure.</t>
  </si>
  <si>
    <t>AM060-001</t>
  </si>
  <si>
    <t>Soft_Standing</t>
  </si>
  <si>
    <t>An open TRACT without a prepared SURFACE of pavement or gravel used for parking and/or storing purposes</t>
  </si>
  <si>
    <t>AM060-002</t>
  </si>
  <si>
    <t>Hard_Standing</t>
  </si>
  <si>
    <t>An open TRACT with a prepared SURFACE of pavement or gravel used for parking and/or storing purposes</t>
  </si>
  <si>
    <t>AM060-003</t>
  </si>
  <si>
    <t>Dutch_Barn</t>
  </si>
  <si>
    <t>A FARM_BUILDING that is used to store hay, grain, and implements and/or to house NON_HUMAN_ANIMALs; a barn [SOED, "barn", A.1] [SOED, "barn", A.2].</t>
  </si>
  <si>
    <t>AM060-004</t>
  </si>
  <si>
    <t>AM060-005</t>
  </si>
  <si>
    <t>Warehouse_Specialized</t>
  </si>
  <si>
    <t>A BUILDING in which specialized goods or merchandise are stored; a warehouse [AHD, "warehouse", 1].</t>
  </si>
  <si>
    <t>AM060-006</t>
  </si>
  <si>
    <t>Grain</t>
  </si>
  <si>
    <t>An enclosed CONTAINER used for storing grain or fodder; a grain bin or grain silo.</t>
  </si>
  <si>
    <t>AM060-007</t>
  </si>
  <si>
    <t>Ore</t>
  </si>
  <si>
    <t>A STRUCTURE intended for storing ore.</t>
  </si>
  <si>
    <t>AM060-008</t>
  </si>
  <si>
    <t>Liquid</t>
  </si>
  <si>
    <t>A STRUCTURE intended for storing liquids.</t>
  </si>
  <si>
    <t>AM060-009</t>
  </si>
  <si>
    <t>Explosive</t>
  </si>
  <si>
    <t>A STRUCTURE intended for storing explosives.</t>
  </si>
  <si>
    <t>AM060-010</t>
  </si>
  <si>
    <t>Ammunition</t>
  </si>
  <si>
    <t>A STRUCTURE solely intended for the storing of ammunition (see AL015-121 Armoury)</t>
  </si>
  <si>
    <t>AM060-011</t>
  </si>
  <si>
    <t>Gaseous</t>
  </si>
  <si>
    <t>A STRUCTURE intended for storing compressed gases.</t>
  </si>
  <si>
    <t>AM060-012</t>
  </si>
  <si>
    <t>Salt</t>
  </si>
  <si>
    <t>A STRUCTURE intended for storing salt.</t>
  </si>
  <si>
    <t>AM060-013</t>
  </si>
  <si>
    <t>Gravel</t>
  </si>
  <si>
    <t>A STRUCTURE intended for storing gravel.</t>
  </si>
  <si>
    <t>AM060-014</t>
  </si>
  <si>
    <t>Sand</t>
  </si>
  <si>
    <t>AM060-015</t>
  </si>
  <si>
    <t>Explosives</t>
  </si>
  <si>
    <t>A STRUCTURE intended for storing sand.</t>
  </si>
  <si>
    <t>AM060-016</t>
  </si>
  <si>
    <t>Food</t>
  </si>
  <si>
    <t>A STRUCTURE intended for storing food.</t>
  </si>
  <si>
    <t>AM060-017</t>
  </si>
  <si>
    <t>Diesel_Fuel</t>
  </si>
  <si>
    <t>A STRUCTURE intended for storing diesel fuel.</t>
  </si>
  <si>
    <t>AM060-018</t>
  </si>
  <si>
    <t>Gasoline</t>
  </si>
  <si>
    <t>A STRUCTURE intended for storing gasoline.</t>
  </si>
  <si>
    <t>AM060-019</t>
  </si>
  <si>
    <t>Oil</t>
  </si>
  <si>
    <t>A STRUCTURE intended for storing oil.</t>
  </si>
  <si>
    <t>AM060-020</t>
  </si>
  <si>
    <t>Water</t>
  </si>
  <si>
    <t>A STRUCTURE intended for storing water.</t>
  </si>
  <si>
    <t>AM060-999</t>
  </si>
  <si>
    <t>A STRUCTURE intended for storing materials other than those listed above.</t>
  </si>
  <si>
    <t>AM065-000</t>
  </si>
  <si>
    <t>Munition_Storage_Facility</t>
  </si>
  <si>
    <t>A facility for the storage of munitions (for example: bombs, missiles, warheads, mines or ammunition).</t>
  </si>
  <si>
    <t>A_Culture\M_Storage\065_Munition_Storage_Facility</t>
  </si>
  <si>
    <t>AM070-000</t>
  </si>
  <si>
    <t>Tank</t>
  </si>
  <si>
    <t>A container used for the storage of liquids or gases. (See also AM011, AM020, and AM080)</t>
  </si>
  <si>
    <t>A_Culture\M_Storage\070_Tank</t>
  </si>
  <si>
    <t>AM071-000</t>
  </si>
  <si>
    <t>Tank_Farm</t>
  </si>
  <si>
    <t>A tract of land occupied by large-capacity tanks in which petroleum, natural gas, or liquid petrochemicals are stored.</t>
  </si>
  <si>
    <t>A_Culture\M_Storage\071_Tank_Farm</t>
  </si>
  <si>
    <t>AM075-000</t>
  </si>
  <si>
    <t>Fuel_Storage_Facility</t>
  </si>
  <si>
    <t>A facility for the storage of fuel (for example: jet fuel, gasoline, or diesel oil).</t>
  </si>
  <si>
    <t>A_Culture\M_Storage\075_Fuel_Storage_Facility</t>
  </si>
  <si>
    <t>AM080-000</t>
  </si>
  <si>
    <t>An elevated container and its supporting structure used to hold water. (See also AM011, AM020, and AM070)</t>
  </si>
  <si>
    <t>A_Culture\M_Storage\080_Water_Tower</t>
  </si>
  <si>
    <t>AM091-000</t>
  </si>
  <si>
    <t>Silo</t>
  </si>
  <si>
    <t>A large storage structure used for storing loose materials.</t>
  </si>
  <si>
    <t>A_Culture\M_Storage\091_Silo</t>
  </si>
  <si>
    <t>AM510-000</t>
  </si>
  <si>
    <t>Transshipment_Station</t>
  </si>
  <si>
    <t>A complex of buildings, associated facilities, roads, and adapted areas used for transshipment of freight between the same or different kinds of transport.</t>
  </si>
  <si>
    <t>A_Culture\M_Storage\510_Transshipment_Station</t>
  </si>
  <si>
    <t>AN010</t>
  </si>
  <si>
    <t>A_Culture\N_Railroad\010_Railroad</t>
  </si>
  <si>
    <t>AN010-000</t>
  </si>
  <si>
    <t>Railroad_Generic</t>
  </si>
  <si>
    <t>One or more railway tracks comprising a network that is operated for the conveyance of passengers and/or goods.</t>
  </si>
  <si>
    <t>AN010-002</t>
  </si>
  <si>
    <t>Car-Line</t>
  </si>
  <si>
    <t>A LAND_TRANSPORTATION_ROUTE consisting of one or more RAILWAY_TRACKs; a Car-Line railway, or a Car-Line railroad (US).</t>
  </si>
  <si>
    <t>AN010-003</t>
  </si>
  <si>
    <t>Monorail</t>
  </si>
  <si>
    <t>A LAND_TRANSPORTATION_ROUTE consisting of one RAILWAY_TRACK; a Monorail railway, or a Monorail railroad (US).</t>
  </si>
  <si>
    <t>AN010-006</t>
  </si>
  <si>
    <t>Subway</t>
  </si>
  <si>
    <t>An underground LAND_TRANSPORTATION_ROUTE consisting of one or more RAILWAY_TRACKs; a Subway railway, or a Subway railroad (US).</t>
  </si>
  <si>
    <t>AN010-008</t>
  </si>
  <si>
    <t>Logging</t>
  </si>
  <si>
    <t>A LAND_TRANSPORTATION_ROUTE consisting of one or more RAILWAY_TRACKs that is used for logging operations; a Logging railway, or a Logging railroad (US).</t>
  </si>
  <si>
    <t>AN010-010</t>
  </si>
  <si>
    <t>Miniature</t>
  </si>
  <si>
    <t>A miniature LAND_TRANSPORTATION_ROUTE consisting of one or more RAILWAY_TRACKs; a Miniature railway, or a Miniature railroad (US).</t>
  </si>
  <si>
    <t>AN010-011</t>
  </si>
  <si>
    <t>Rapid_Transit_Route</t>
  </si>
  <si>
    <t>A rapid transit LAND_TRANSPORTATION_ROUTE consisting of one or more RAILWAY_TRACKs; a Rapid_Transit_Route railway, or a Rapid_Transit_Route railroad (US).</t>
  </si>
  <si>
    <t>AN010-013</t>
  </si>
  <si>
    <t>Marine_Railroad</t>
  </si>
  <si>
    <t>A LAND_TRANSPORTATION_ROUTE consisting of one or more RAILWAY_TRACKs that is used for marine operations;; a Marine_Railroad railway, or a Marine_Railroad railroad (US).</t>
  </si>
  <si>
    <t>AN010-014</t>
  </si>
  <si>
    <t>Tramway</t>
  </si>
  <si>
    <t>A LAND_TRANSPORTATION_ROUTE consisting of one or more RAILWAY_TRACKs that is used for streetcars or cablecars; a Tramway railway, or a Tramway railroad (US).</t>
  </si>
  <si>
    <t>AN010-015</t>
  </si>
  <si>
    <t>Inclined_Railway</t>
  </si>
  <si>
    <t>Ainclined LAND_TRANSPORTATION_ROUTE consisting of one or more RAILWAY_TRACKs; a Inclined_Railway railway, or a Inclined_Railway railroad (US).</t>
  </si>
  <si>
    <t>AN010-016</t>
  </si>
  <si>
    <t>Main_Line</t>
  </si>
  <si>
    <t>A maain or primary LAND_TRANSPORTATION_ROUTE consisting of one or more RAILWAY_TRACKs; a Main_Line railway, or a Main_Line railroad (US).</t>
  </si>
  <si>
    <t>AN010-017</t>
  </si>
  <si>
    <t>Branch_Line</t>
  </si>
  <si>
    <t>A branch or secondary LAND_TRANSPORTATION_ROUTE consisting of one or more RAILWAY_TRACKs; a Branch_Line railway, or a Branch_Line railroad (US).</t>
  </si>
  <si>
    <t>AN010-021</t>
  </si>
  <si>
    <t>Railroad_in_Road</t>
  </si>
  <si>
    <t>A LAND_TRANSPORTATION_ROUTE consisting of one or more RAILWAY_TRACKs embedded in a road; a Railroad_in_Road railway, or a Railroad_in_Road railroad (US).</t>
  </si>
  <si>
    <t>AN010-999</t>
  </si>
  <si>
    <t>A LAND_TRANSPORTATION_ROUTE type other than those listed above</t>
  </si>
  <si>
    <t>AN015-000</t>
  </si>
  <si>
    <t>Railway_Track</t>
  </si>
  <si>
    <t>A rail or set of parallel rails on which a train, tram, or rail wagon runs.</t>
  </si>
  <si>
    <t>A_Culture\N_Railroad\015_Railway_Track</t>
  </si>
  <si>
    <t>AN050-000</t>
  </si>
  <si>
    <t>Railroad_Siding</t>
  </si>
  <si>
    <t>A stretch of railroad tracks connected to the main track by switch(es) - used for temporary storage and loading/unloading.</t>
  </si>
  <si>
    <t>A_Culture\N_Railroad\050_Railroad_Siding</t>
  </si>
  <si>
    <t>AN060-000</t>
  </si>
  <si>
    <t>Railroad_Yard</t>
  </si>
  <si>
    <t>A system of tracks within defined limits, and associated features, provided for loading/unloading and assembling trains.</t>
  </si>
  <si>
    <t>A_Culture\N_Railroad\060_Railroad_Yard</t>
  </si>
  <si>
    <t>AN065-000</t>
  </si>
  <si>
    <t>Railhead</t>
  </si>
  <si>
    <t>A location where materials can be loaded or unloaded from railroad wagons.</t>
  </si>
  <si>
    <t>A_Culture\N_Railroad\065_Railhead</t>
  </si>
  <si>
    <t>AN075-000</t>
  </si>
  <si>
    <t>Railroad_Turntable</t>
  </si>
  <si>
    <t>A rotating platform with railroad tracks used for turning locomotives or cars/carriages.</t>
  </si>
  <si>
    <t>A_Culture\N_Railroad\075_Railroad_Turntable</t>
  </si>
  <si>
    <t>AN076-000</t>
  </si>
  <si>
    <t>A circular or semicircular building, with a railway turntable in the centre, used for storing and/or repairing railway locomotives.</t>
  </si>
  <si>
    <t>A_Culture\N_Railroad\076_Roundhouse</t>
  </si>
  <si>
    <t>AN080-000</t>
  </si>
  <si>
    <t>Railroad_Switch</t>
  </si>
  <si>
    <t>A location on a railroad at which rails may be switched to permit access to another line.</t>
  </si>
  <si>
    <t>A_Culture\N_Railroad\080_Railroad_Switch</t>
  </si>
  <si>
    <t>AN085-000</t>
  </si>
  <si>
    <t>Railway_Signal</t>
  </si>
  <si>
    <t>A signal used to control traffic on a railway.</t>
  </si>
  <si>
    <t>A_Culture\N_Railroad\085_Railway_Signal</t>
  </si>
  <si>
    <t>AP010-000</t>
  </si>
  <si>
    <t>Cart_Track</t>
  </si>
  <si>
    <t>An unimproved roadway.</t>
  </si>
  <si>
    <t>A_Culture\P_Road\010_Cart_Track</t>
  </si>
  <si>
    <t>AP020</t>
  </si>
  <si>
    <t>A_Culture\P_Road\020_Interchange</t>
  </si>
  <si>
    <t>AP020-000</t>
  </si>
  <si>
    <t>Interchange_Generic</t>
  </si>
  <si>
    <t>A connection designed to provide traffic access from one road to another.</t>
  </si>
  <si>
    <t>AP020-001</t>
  </si>
  <si>
    <t>Cloverleaf</t>
  </si>
  <si>
    <t>An interchange between two major highways that allows traffic to change from one to the other without requiring any left turns or crossings and that from above resembles a 4-leaf clover</t>
  </si>
  <si>
    <t>AP020-002</t>
  </si>
  <si>
    <t>Diamond</t>
  </si>
  <si>
    <t>An interchange between two major highways that allows traffic to change from one to the other without requiring any left turns or crossings and that from above resembles a diamond</t>
  </si>
  <si>
    <t>AP020-003</t>
  </si>
  <si>
    <t>Fork</t>
  </si>
  <si>
    <t>The point where a road or river divides into two or more parts</t>
  </si>
  <si>
    <t>AP020-004</t>
  </si>
  <si>
    <t>Roundabout</t>
  </si>
  <si>
    <t>A road junction at which traffic moves in one direction round a central island to reach one of the roads converging on it.</t>
  </si>
  <si>
    <t>AP020-005</t>
  </si>
  <si>
    <t>Staggered_Ramp</t>
  </si>
  <si>
    <t>A short section of road which allows vehicles to enter or exit a freeway. (staggered)</t>
  </si>
  <si>
    <t>AP020-006</t>
  </si>
  <si>
    <t>Standard_Ramp</t>
  </si>
  <si>
    <t>A short section of road which allows vehicles to enter or exit a freeway. (standard)</t>
  </si>
  <si>
    <t>AP020-007</t>
  </si>
  <si>
    <t>Symmetrical_Ramps</t>
  </si>
  <si>
    <t>A short section of road which allows vehicles to enter or exit a freeway. (symmetrical)</t>
  </si>
  <si>
    <t>AP020-008</t>
  </si>
  <si>
    <t>Trumpet</t>
  </si>
  <si>
    <t>An interchange traditionally used where one expressway terminates at another expressway; it involves at least one loop ramp connecting traffic either entering or leaving the terminating expressway with the far lanes of the continuous expressway.</t>
  </si>
  <si>
    <t>AP020-009</t>
  </si>
  <si>
    <t>Turban</t>
  </si>
  <si>
    <t>An interchange (known as a "whirlpool" in the UK). The turbine/whirlpool interchange requires fewer levels while retaining semi-directional ramps throughout and has the left-turning ramps sweep around the center of the interchange in a spiral pattern.</t>
  </si>
  <si>
    <t>AP020-010</t>
  </si>
  <si>
    <t>Wye</t>
  </si>
  <si>
    <t>A wye interchange is where one freeway terminates at another freeway with the same general directional alignment. The trunk of the terminating highway merges with the trunk of the continuous highway; vehicles traveling into the interchange may only exit traveling in the same direction. This type of interchange is often used for bypass routes, and is named for the shape the two highways' confluence makes when drawn on a map.</t>
  </si>
  <si>
    <t>AP020-999</t>
  </si>
  <si>
    <t>An interchange-type other than those listed above.</t>
  </si>
  <si>
    <t>AP030</t>
  </si>
  <si>
    <t>A_Culture\P_Road\030_Road</t>
  </si>
  <si>
    <t>AP030-000</t>
  </si>
  <si>
    <t>Road_Generic</t>
  </si>
  <si>
    <t>A generic term that refers to an open way on land between two places maintained for vehicular use. Roads consist of one, or sometimes two, roadways, each with one or more lanes and also any associated sidewalks</t>
  </si>
  <si>
    <t>AP030-001</t>
  </si>
  <si>
    <t>Street</t>
  </si>
  <si>
    <t>A low-capacity paved public road in a city, town, or village, onto which people and/or vehicles can move about and interact with one another. Consists of 1 or 2 lanes.</t>
  </si>
  <si>
    <t>AP030-002</t>
  </si>
  <si>
    <t>Rapid_Transit</t>
  </si>
  <si>
    <t>Aroad used for the fast transportation of passengers (as by subway) in urban areas.</t>
  </si>
  <si>
    <t>AP030-003</t>
  </si>
  <si>
    <t>Laneway</t>
  </si>
  <si>
    <t>Also known as Driveway. A narrow street or alley running behind urban buildings, especially houses. Typically is a private road for local vehicle access to one or a small group of structures, and is owned and maintained by an individual or group.</t>
  </si>
  <si>
    <t>AP030-004</t>
  </si>
  <si>
    <t>Service_Lane</t>
  </si>
  <si>
    <t>Also known as Alley or Alleyway. A narrow street or alley running behind urban buildings, especially houses or stores.</t>
  </si>
  <si>
    <t>AP030-005</t>
  </si>
  <si>
    <t>Backroad</t>
  </si>
  <si>
    <t>A secondary type of road, usually found in rural areas, undivided, with 1-2 lanes, usually unpaved (dirt or gravel)</t>
  </si>
  <si>
    <t>AP030-006</t>
  </si>
  <si>
    <t>Collector</t>
  </si>
  <si>
    <t>A type of road, termed for its low-to-medium capacity and its urban setting. The primary function of an Collector is to deliver traffic from Streets to Arteries. Typically 2 lanes, rarely 4 lanes</t>
  </si>
  <si>
    <t>AP030-007</t>
  </si>
  <si>
    <t>Artery_Generic</t>
  </si>
  <si>
    <t>A type of road, termed for its high-capacity and its urban setting. The primary function of an arterial road is to deliver traffic from collector roads to Highways.</t>
  </si>
  <si>
    <t>AP030-008</t>
  </si>
  <si>
    <t>Artery_Major</t>
  </si>
  <si>
    <t>An artery with 6 lanes or more, usually divided.</t>
  </si>
  <si>
    <t>AP030-009</t>
  </si>
  <si>
    <t>Artery_Minor</t>
  </si>
  <si>
    <t>An artery with less than 6 lanes, usually divided.</t>
  </si>
  <si>
    <t>AP030-010</t>
  </si>
  <si>
    <t>Highway_Undivided_Generic</t>
  </si>
  <si>
    <t>A type of road, consisting of a single roadway, termed for its high-capacity and high speed. Its primary function is to interconnect cities. Also known as expressways, motorways, freeways, autobahn, autoroute, thruways, toolway.</t>
  </si>
  <si>
    <t>AP030-011</t>
  </si>
  <si>
    <t>Highway_Undivided_Major</t>
  </si>
  <si>
    <t>An undivided highway with 4 lanes or more</t>
  </si>
  <si>
    <t>AP030-012</t>
  </si>
  <si>
    <t>Highway_Undivided_Minor</t>
  </si>
  <si>
    <t>An undivided highway with less than 4 lanes</t>
  </si>
  <si>
    <t>AP030-013</t>
  </si>
  <si>
    <t>Highway_Divided_Generic</t>
  </si>
  <si>
    <t>A type of road, consisting of a two or more roadways, termed for its high-capacity, high speed. Its primary function is to interconnect cities. All traffic flow and ingress/egress are regulated and no crossings at grade-level. Also known as expressways, motorways, freeways, autobahn, autoroute, thruways, toolway.</t>
  </si>
  <si>
    <t>AP030-014</t>
  </si>
  <si>
    <t>Highway_Divided_Major</t>
  </si>
  <si>
    <t>A divided highway with 6 lanes or more</t>
  </si>
  <si>
    <t>AP030-015</t>
  </si>
  <si>
    <t>Highway_Divided_Minor</t>
  </si>
  <si>
    <t>A divided highway with less than 6 lanes</t>
  </si>
  <si>
    <t>AP030-016</t>
  </si>
  <si>
    <t>Lane</t>
  </si>
  <si>
    <t>A linear portion of a roadway surface marked out for use by a single line of vehicles in such a way as to control and guide drivers for the purpose of reducing traffic conflicts</t>
  </si>
  <si>
    <t>AP030-017</t>
  </si>
  <si>
    <t>Street_Major</t>
  </si>
  <si>
    <t>A wide street consisting of one wide lane or 2 lanes of average width.</t>
  </si>
  <si>
    <t>AP030-018</t>
  </si>
  <si>
    <t>Street_Minor</t>
  </si>
  <si>
    <t>A narrow street usually consisting of 1 lane</t>
  </si>
  <si>
    <t>AP030-999</t>
  </si>
  <si>
    <t>A road type other than those listed above</t>
  </si>
  <si>
    <t>AP032</t>
  </si>
  <si>
    <t>Road_Ramp</t>
  </si>
  <si>
    <t>A_Culture\P_Road\032_Road_Ramp</t>
  </si>
  <si>
    <t>AP032-000</t>
  </si>
  <si>
    <t>A section of a road interchange connecting two or more roads at different levels by means of an inclined roadway.</t>
  </si>
  <si>
    <t>AP032-001</t>
  </si>
  <si>
    <t>Motorway_Ramp</t>
  </si>
  <si>
    <t>AP032-002</t>
  </si>
  <si>
    <t>Trunk_Ramp</t>
  </si>
  <si>
    <t>AP040-000</t>
  </si>
  <si>
    <t>Gate</t>
  </si>
  <si>
    <t>A barrier which controls passage to a road, railroad, tunnel, or bridge.</t>
  </si>
  <si>
    <t>A_Culture\P_Road\040_Gate</t>
  </si>
  <si>
    <t>AP041-000</t>
  </si>
  <si>
    <t>Barrier</t>
  </si>
  <si>
    <t>A permanent obstruction placed across a route to prevent vehicular traffic.</t>
  </si>
  <si>
    <t>A_Culture\P_Road\041_Barrier</t>
  </si>
  <si>
    <t>AP050-000</t>
  </si>
  <si>
    <t>Trail</t>
  </si>
  <si>
    <t>A path worn by the passage of people or animals.</t>
  </si>
  <si>
    <t>A_Culture\P_Road\050_Trail</t>
  </si>
  <si>
    <t>AP060-000</t>
  </si>
  <si>
    <t>Drove</t>
  </si>
  <si>
    <t>Wide track on the land's surface due to the regular movement of animal herds (e.g. sheep, cattle).</t>
  </si>
  <si>
    <t>A_Culture\P_Road\060_Drove</t>
  </si>
  <si>
    <t>AQ010-000</t>
  </si>
  <si>
    <t>Cableway_Line</t>
  </si>
  <si>
    <t>Cables which are strung between elevated supports as part of a conveyor system on which cars, buckets, or other carrier units are suspended. (Superseeded by Revised Cableway AT041 which now covers this concept)</t>
  </si>
  <si>
    <t>A_Culture\Q_Associated\010_Cableway_Line</t>
  </si>
  <si>
    <t>AQ020-000</t>
  </si>
  <si>
    <t>Cableway_Pylon</t>
  </si>
  <si>
    <t>A tower supporting steel cables which convey cars, buckets, or other suspended carrier units.</t>
  </si>
  <si>
    <t>A_Culture\Q_Associated\020_Cableway_Pylon</t>
  </si>
  <si>
    <t>AQ021-000</t>
  </si>
  <si>
    <t>Mast</t>
  </si>
  <si>
    <t>A straight piece of timber or a hollow cylinder of wood or metal set up vertically, or nearly so.</t>
  </si>
  <si>
    <t>A_Culture\Q_Associated\021_Mast</t>
  </si>
  <si>
    <t>AQ030-000</t>
  </si>
  <si>
    <t>Boardwalk</t>
  </si>
  <si>
    <t>A walkway made of wooden planks. (See also BB140)</t>
  </si>
  <si>
    <t>A_Culture\Q_Associated\030_Boardwalk</t>
  </si>
  <si>
    <t>AQ035-000</t>
  </si>
  <si>
    <t>Sidewalk</t>
  </si>
  <si>
    <t>A paved or improved pedestrian path, typically located adjacent and parallel to a street or road.</t>
  </si>
  <si>
    <t>A_Culture\Q_Associated\035_Sidewalk</t>
  </si>
  <si>
    <t>AQ036-000</t>
  </si>
  <si>
    <t>Curb</t>
  </si>
  <si>
    <t>A border of concrete, asphalt or stone forming part of a gutter along the edge of a street or road.</t>
  </si>
  <si>
    <t>A_Culture\Q_Associated\036_Curb</t>
  </si>
  <si>
    <t>AQ040</t>
  </si>
  <si>
    <t>A_Culture\Q_Associated\040_Bridge</t>
  </si>
  <si>
    <t>AQ040-000</t>
  </si>
  <si>
    <t>Bridge_Generic</t>
  </si>
  <si>
    <t>A structure that connects two locations and provides for the passage of a transportation route (for example: a road or a railway) over a terrain obstacle (for example: a waterbody, a gully, and/or a road).</t>
  </si>
  <si>
    <t>AQ040-001</t>
  </si>
  <si>
    <t>Arch_Open</t>
  </si>
  <si>
    <t>An Arch_Open-type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</si>
  <si>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AQ040-002</t>
  </si>
  <si>
    <t>Cantilever</t>
  </si>
  <si>
    <t>A Cantilever-type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</si>
  <si>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AQ040-003</t>
  </si>
  <si>
    <t>Deck</t>
  </si>
  <si>
    <t>A Deck-type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</si>
  <si>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AQ040-004</t>
  </si>
  <si>
    <t>Drawbridge</t>
  </si>
  <si>
    <t>A Drawbridge-type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</si>
  <si>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AQ040-005</t>
  </si>
  <si>
    <t>Pontoon</t>
  </si>
  <si>
    <t>A Pontoon-type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</si>
  <si>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AQ040-006</t>
  </si>
  <si>
    <t>Girder</t>
  </si>
  <si>
    <t>A Girder-type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</si>
  <si>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AQ040-007</t>
  </si>
  <si>
    <t>Tower_Suspension</t>
  </si>
  <si>
    <t>A Tower_Suspension-type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</si>
  <si>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AQ040-008</t>
  </si>
  <si>
    <t>Truss</t>
  </si>
  <si>
    <t>A Truss-type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</si>
  <si>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AQ040-009</t>
  </si>
  <si>
    <t>Suspension</t>
  </si>
  <si>
    <t>A Suspension-type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</si>
  <si>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AQ040-010</t>
  </si>
  <si>
    <t>Swing</t>
  </si>
  <si>
    <t>A Swing-type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</si>
  <si>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AQ040-011</t>
  </si>
  <si>
    <t>Lift</t>
  </si>
  <si>
    <t>A Lift-type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</si>
  <si>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AQ040-012</t>
  </si>
  <si>
    <t>Transporter</t>
  </si>
  <si>
    <t>A Transporter-type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</si>
  <si>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AQ040-013</t>
  </si>
  <si>
    <t>Bascule</t>
  </si>
  <si>
    <t>A Bascule-type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</si>
  <si>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AQ040-014</t>
  </si>
  <si>
    <t>Fixed_Unspecified</t>
  </si>
  <si>
    <t>A Fixed_Unspecified-type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</si>
  <si>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AQ040-015</t>
  </si>
  <si>
    <t>Slab</t>
  </si>
  <si>
    <t>A Slab-type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</si>
  <si>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AQ040-016</t>
  </si>
  <si>
    <t>Stringer_Beam</t>
  </si>
  <si>
    <t>A Stringer_Beam-type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</si>
  <si>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AQ040-017</t>
  </si>
  <si>
    <t>Arch_Suspension</t>
  </si>
  <si>
    <t>A Arch_Suspension-type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</si>
  <si>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AQ040-018</t>
  </si>
  <si>
    <t>Retractable</t>
  </si>
  <si>
    <t>A Retractable-type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</si>
  <si>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AQ040-019</t>
  </si>
  <si>
    <t>Suspension_Bow</t>
  </si>
  <si>
    <t>A Suspension_Bow-type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</si>
  <si>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AQ040-020</t>
  </si>
  <si>
    <t>Suspension_Cable</t>
  </si>
  <si>
    <t>A Suspension_Cable-type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</si>
  <si>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AQ040-021</t>
  </si>
  <si>
    <t>Moveable_Surface</t>
  </si>
  <si>
    <t>A Moveable_Surface-type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</si>
  <si>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AQ040-022</t>
  </si>
  <si>
    <t>Covered</t>
  </si>
  <si>
    <t>A Covered-type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</si>
  <si>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AQ040-023</t>
  </si>
  <si>
    <t>Opening</t>
  </si>
  <si>
    <t>A Opening-type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</si>
  <si>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AQ040-024</t>
  </si>
  <si>
    <t>Footbridge</t>
  </si>
  <si>
    <t>A Footbridge-type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</si>
  <si>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AQ040-025</t>
  </si>
  <si>
    <t>Fixed</t>
  </si>
  <si>
    <t>A Fixed-type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</si>
  <si>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AQ040-026</t>
  </si>
  <si>
    <t>Arch_Closed</t>
  </si>
  <si>
    <t>A Arch_Closed-type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</si>
  <si>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AQ040-027</t>
  </si>
  <si>
    <t>Cable_Stayed</t>
  </si>
  <si>
    <t>A Cable_Stayed-type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</si>
  <si>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AQ040-999</t>
  </si>
  <si>
    <t>A Other-type STRUCTURE that connects two LOCATIONs and provides for the passage of a LAND_TRANSPORTATION_ROUTE over a TERRAIN_OBSTACLE (for example: a WATERBODY, a GULLY, and/or a ROAD); a bridge. A bridge consists of a SET of two or more BRIDGE_PIERs or BRIDGE_TOWERs joined by BRIDGE_SPANs.</t>
  </si>
  <si>
    <t>AQ045-000</t>
  </si>
  <si>
    <t>Bridge_Span</t>
  </si>
  <si>
    <t>A section of the bridge deck between successive supports such as pillars, piers, or abutments.</t>
  </si>
  <si>
    <t>A_Culture\Q_Associated\045_Bridge_Span</t>
  </si>
  <si>
    <t>AQ050-000</t>
  </si>
  <si>
    <t>Bridge_Superstruct</t>
  </si>
  <si>
    <t>Those elements of the bridge structure which are above the lowest deck. (See also AQ055)</t>
  </si>
  <si>
    <t>A_Culture\Q_Associated\050_Bridge_Superstruct</t>
  </si>
  <si>
    <t>AQ055-000</t>
  </si>
  <si>
    <t>Bridge_Pylon</t>
  </si>
  <si>
    <t>A tower or pylon from which a bridge's deck is suspended.</t>
  </si>
  <si>
    <t>A_Culture\Q_Associated\055_Bridge_Pylon</t>
  </si>
  <si>
    <t>AQ056-000</t>
  </si>
  <si>
    <t>Bridge_Pier</t>
  </si>
  <si>
    <t>The support(s) in the form of pillar(s) or abutment(s) for the spans of a bridge.</t>
  </si>
  <si>
    <t>A_Culture\Q_Associated\056_Bridge_Pier</t>
  </si>
  <si>
    <t>AQ058-000</t>
  </si>
  <si>
    <t>Constriction_or_Expansion</t>
  </si>
  <si>
    <t>A point where a passage way narrows or expands beyond its normal width.</t>
  </si>
  <si>
    <t>A_Culture\Q_Associated\058_Constriction_or_Expansion</t>
  </si>
  <si>
    <t>AQ060-000</t>
  </si>
  <si>
    <t>Control_Tower</t>
  </si>
  <si>
    <t>A tower-like structure that houses the persons and equipment used to control the flow of air, rail, or marine traffic. (See also AL240)</t>
  </si>
  <si>
    <t>A_Culture\Q_Associated\060_Control_Tower</t>
  </si>
  <si>
    <t>AQ062-000</t>
  </si>
  <si>
    <t>Crossing</t>
  </si>
  <si>
    <t>A point where two or more line features intersect or cross at the same level about which information is required. (See also BH070)</t>
  </si>
  <si>
    <t>A_Culture\Q_Associated\062_Crossing</t>
  </si>
  <si>
    <t>AQ063-000</t>
  </si>
  <si>
    <t>Causeway_Structure</t>
  </si>
  <si>
    <t>A solid raised way across a terrain obstacle (for example: a wetland or a body of shallow water) that is intended to support a transportation route (for example: a road or a railway).</t>
  </si>
  <si>
    <t>A_Culture\Q_Associated\063_Causeway_Structure</t>
  </si>
  <si>
    <t>AQ064-000</t>
  </si>
  <si>
    <t>Causeway</t>
  </si>
  <si>
    <t>A raised roadway of solid structure built primarily to provide a route across wet ground or intertidal area.</t>
  </si>
  <si>
    <t>A_Culture\Q_Associated\064_Causeway</t>
  </si>
  <si>
    <t>AQ065-000</t>
  </si>
  <si>
    <t>Culvert</t>
  </si>
  <si>
    <t>A sewer or drain crossing under a road, track, or embankment, without affecting the construction of the crossed feature.</t>
  </si>
  <si>
    <t>A_Culture\Q_Associated\065_Culvert</t>
  </si>
  <si>
    <t>AQ068-000</t>
  </si>
  <si>
    <t>Drop_Gate</t>
  </si>
  <si>
    <t>A massive assemblage of material, usually in the form of concrete logs or blocks, positioned alongside or above a transportation route, ready to be activated as a potential barrier to an advancing enemy ground force, when needed.</t>
  </si>
  <si>
    <t>A_Culture\Q_Associated\068_Drop_Gate</t>
  </si>
  <si>
    <t>AQ070-000</t>
  </si>
  <si>
    <t>Ferry_Crossing</t>
  </si>
  <si>
    <t>A route in a body of water where a ferry crosses from one shoreline to another.</t>
  </si>
  <si>
    <t>A_Culture\Q_Associated\070_Ferry_Crossing</t>
  </si>
  <si>
    <t>AQ075-000</t>
  </si>
  <si>
    <t>Ice_Route</t>
  </si>
  <si>
    <t>A route over a frozen watercourse.</t>
  </si>
  <si>
    <t>A_Culture\Q_Associated\075_Ice_Route</t>
  </si>
  <si>
    <t>AQ080-000</t>
  </si>
  <si>
    <t>Ferry_Site</t>
  </si>
  <si>
    <t>A point where a ferry takes on or discharges its load.</t>
  </si>
  <si>
    <t>A_Culture\Q_Associated\080_Ferry_Site</t>
  </si>
  <si>
    <t>AQ090-000</t>
  </si>
  <si>
    <t>Entrance_or_Exit</t>
  </si>
  <si>
    <t>A point of entrance or exit. (See also AA010 and AQ130)</t>
  </si>
  <si>
    <t>A_Culture\Q_Associated\090_Entrance_or_Exit</t>
  </si>
  <si>
    <t>AQ095-000</t>
  </si>
  <si>
    <t>Tunnel_Mouth</t>
  </si>
  <si>
    <t>The opening of a tunnel into a larger space (for example: onto the terrain surface).</t>
  </si>
  <si>
    <t>A_Culture\Q_Associated\095_Tunnel_Mouth</t>
  </si>
  <si>
    <t>AQ100-000</t>
  </si>
  <si>
    <t>Landmark_Post</t>
  </si>
  <si>
    <t>A marker which designates the distance from a given point, or a location.</t>
  </si>
  <si>
    <t>A_Culture\Q_Associated\100_Landmark_Post</t>
  </si>
  <si>
    <t>AQ105-000</t>
  </si>
  <si>
    <t>Buried_Utility</t>
  </si>
  <si>
    <t>Utilities or pipeline network that is located underground or below a waterbody.</t>
  </si>
  <si>
    <t>A_Culture\Q_Associated\105_Buried_Utility</t>
  </si>
  <si>
    <t>AQ110-000</t>
  </si>
  <si>
    <t>Mooring_Mast</t>
  </si>
  <si>
    <t>A tower-like structure used to secure an airship.</t>
  </si>
  <si>
    <t>A_Culture\Q_Associated\110_Mooring_Mast</t>
  </si>
  <si>
    <t>AQ111-000</t>
  </si>
  <si>
    <t>Float_Bridge_Site</t>
  </si>
  <si>
    <t>Site on a river or canal which has a ramp, piling, and/or pier structures constructed on one or both shores to allow for suitable future crossing operations using float bridge or rafting equipment.</t>
  </si>
  <si>
    <t>A_Culture\Q_Associated\111_Float_Bridge_Site</t>
  </si>
  <si>
    <t>AQ113-000</t>
  </si>
  <si>
    <t>Pipeline</t>
  </si>
  <si>
    <t>A tube for the conveyance of solids, liquids or gases.</t>
  </si>
  <si>
    <t>A_Culture\Q_Associated\113_Pipeline</t>
  </si>
  <si>
    <t>AQ114-000</t>
  </si>
  <si>
    <t>Storm_Drain</t>
  </si>
  <si>
    <t>A collector opening into a pipe or channel to allow the removal of excess runoff water or in some cases sewage.</t>
  </si>
  <si>
    <t>A_Culture\Q_Associated\114_Storm_Drain</t>
  </si>
  <si>
    <t>AQ115-000</t>
  </si>
  <si>
    <t>Utility_Cover</t>
  </si>
  <si>
    <t>A removable cover or plate which provides access to underground utility tunnels, distribution lines, or drainage systems.</t>
  </si>
  <si>
    <t>A_Culture\Q_Associated\115_Utility_Cover</t>
  </si>
  <si>
    <t>AQ116-000</t>
  </si>
  <si>
    <t>Pumping_Station</t>
  </si>
  <si>
    <t>A facility to move solids, liquids or gases by means of pressure or suction.</t>
  </si>
  <si>
    <t>A_Culture\Q_Associated\116_Pumping_Station</t>
  </si>
  <si>
    <t>AQ118-000</t>
  </si>
  <si>
    <t>Sharp_Curve</t>
  </si>
  <si>
    <t>A curve which may cause transportation restrictions.</t>
  </si>
  <si>
    <t>A_Culture\Q_Associated\118_Sharp_Curve</t>
  </si>
  <si>
    <t>AQ119-000</t>
  </si>
  <si>
    <t>Route_Marker</t>
  </si>
  <si>
    <t>An emblem used to designate a road's name or identifying number.</t>
  </si>
  <si>
    <t>A_Culture\Q_Associated\119_Route_Marker</t>
  </si>
  <si>
    <t>AQ120-000</t>
  </si>
  <si>
    <t>Steep_Grade</t>
  </si>
  <si>
    <t>Location along any given traveled way where the percent (%) slope (ratio of change in elevation (vertical distance) to horizontal ground distance multiplied by 100) is high enough to slow, hinder, or even stop movement.</t>
  </si>
  <si>
    <t>A_Culture\Q_Associated\120_Steep_Grade</t>
  </si>
  <si>
    <t>AQ125-000</t>
  </si>
  <si>
    <t>Station-Misc</t>
  </si>
  <si>
    <t>A stopping place for the transfer of passengers and/or freight.</t>
  </si>
  <si>
    <t>A_Culture\Q_Associated\125_Station-Misc</t>
  </si>
  <si>
    <t>AQ130-000</t>
  </si>
  <si>
    <t>Tunnel</t>
  </si>
  <si>
    <t>An underground or underwater passage, open at both ends, and usually containing a road or railroad. (See also AQ090)</t>
  </si>
  <si>
    <t>A_Culture\Q_Associated\130_Tunnel</t>
  </si>
  <si>
    <t>AQ135-000</t>
  </si>
  <si>
    <t>Vehicle_Rest_Area</t>
  </si>
  <si>
    <t>A roadside place usually having facilities for people and/or vehicles.</t>
  </si>
  <si>
    <t>A_Culture\Q_Associated\135_Vehicle_Rest_Area</t>
  </si>
  <si>
    <t>AQ140-000</t>
  </si>
  <si>
    <t>Vehicle_Park_Area</t>
  </si>
  <si>
    <t>An open land area used for storing or parking vehicles or vessels (including recreational vehicles). (See also AI020 and AK060)</t>
  </si>
  <si>
    <t>A_Culture\Q_Associated\140_Vehicle_Park_Area</t>
  </si>
  <si>
    <t>AQ141-000</t>
  </si>
  <si>
    <t>Parking_Garage</t>
  </si>
  <si>
    <t>A designated, multi-level, structure used for parking and/or storing vehicles.</t>
  </si>
  <si>
    <t>A_Culture\Q_Associated\141_Parking_Garage</t>
  </si>
  <si>
    <t>AQ150-000</t>
  </si>
  <si>
    <t>Steps_or_Stair</t>
  </si>
  <si>
    <t>A series of steps or stairs reaching from one level to another.</t>
  </si>
  <si>
    <t>A_Culture\Q_Associated\150_Steps_or_Stair</t>
  </si>
  <si>
    <t>AQ151-000</t>
  </si>
  <si>
    <t>Arcade</t>
  </si>
  <si>
    <t>A covered passageway composed of arches and pillars usually open at one or both sides.</t>
  </si>
  <si>
    <t>A_Culture\Q_Associated\151_Arcade</t>
  </si>
  <si>
    <t>AQ152-000</t>
  </si>
  <si>
    <t>Overhead_Walkway</t>
  </si>
  <si>
    <t>An elevated or suspended bridge-like structure providing pedestrian passage.</t>
  </si>
  <si>
    <t>A_Culture\Q_Associated\152_Overhead_Walkway</t>
  </si>
  <si>
    <t>AQ160-000</t>
  </si>
  <si>
    <t>Traffic_Light</t>
  </si>
  <si>
    <t>A set of automatic lights (usually red, amber, and green) for controlling road traffic, especially at a road intersection.</t>
  </si>
  <si>
    <t>A_Culture\Q_Associated\160_Traffic_Light</t>
  </si>
  <si>
    <t>AQ161-000</t>
  </si>
  <si>
    <t>Street_Lamp</t>
  </si>
  <si>
    <t>A lamp intended to illuminate a road.</t>
  </si>
  <si>
    <t>A_Culture\Q_Associated\161_Street_Lamp</t>
  </si>
  <si>
    <t>AQ162-000</t>
  </si>
  <si>
    <t>Street_Sign</t>
  </si>
  <si>
    <t>A sign placed along a road for the purpose of regulating the flow of traffic (for example: vehicles and/or pedestrians) and/or providing information.</t>
  </si>
  <si>
    <t>A_Culture\Q_Associated\162_Street_Sign</t>
  </si>
  <si>
    <t>AQ170-000</t>
  </si>
  <si>
    <t>Motor_Vehicle_Station</t>
  </si>
  <si>
    <t>A building at, or in which, motor vehicles are refuelled, serviced, and sometimes repaired.</t>
  </si>
  <si>
    <t>A_Culture\Q_Associated\170_Motor_Vehicle_Station</t>
  </si>
  <si>
    <t>AQ180-000</t>
  </si>
  <si>
    <t>Weigh_Station</t>
  </si>
  <si>
    <t>A building and associated equipment that is used to inspect and weigh motor vehicles.</t>
  </si>
  <si>
    <t>A_Culture\Q_Associated\180_Weigh_Station</t>
  </si>
  <si>
    <t>AQ200-000</t>
  </si>
  <si>
    <t>Regulatory_Sign</t>
  </si>
  <si>
    <t>A sign placed by an authority charged with the regulation of traffic along a transportation route for the purpose of regulating the flow of traffic (for example: vessels, vehicles and/or pedestrians) and/or providing information pertinent to the control of that traffic.</t>
  </si>
  <si>
    <t>A_Culture\Q_Associated\200_Regulatory_Sign</t>
  </si>
  <si>
    <t>AR001-000</t>
  </si>
  <si>
    <t>Marshaller</t>
  </si>
  <si>
    <t>Aircraft Guidance-Positionning Personnel.</t>
  </si>
  <si>
    <t>A_Culture\R_Air_Traffic_Serv\001_Marshaller</t>
  </si>
  <si>
    <t>AT005-000</t>
  </si>
  <si>
    <t>Cable</t>
  </si>
  <si>
    <t>A single continuous rope-like bundle consisting of multiple strands of fiber, plastic, metal, and/or glass. (See also AT006, AT030 and AT060)</t>
  </si>
  <si>
    <t>A_Culture\T_Comm\005_Cable</t>
  </si>
  <si>
    <t>AT006-000</t>
  </si>
  <si>
    <t>Overhead_Cable</t>
  </si>
  <si>
    <t>An insulated wire, or group of wires formed into one continuous strand and located above ground or above water surface. (Retired) (See also AT005, AT030 and AT060)</t>
  </si>
  <si>
    <t>A_Culture\T_Comm\006_Overhead_Cable</t>
  </si>
  <si>
    <t>AT010-000</t>
  </si>
  <si>
    <t>Dish_Aerial</t>
  </si>
  <si>
    <t>A concave object used for transmitting or receiving electronic signals.</t>
  </si>
  <si>
    <t>A_Culture\T_Comm\010_Dish_Aerial</t>
  </si>
  <si>
    <t>AT011-000</t>
  </si>
  <si>
    <t>Aerial</t>
  </si>
  <si>
    <t>A device that is used for emitting and/or sensing electromagnetic energy.</t>
  </si>
  <si>
    <t>A_Culture\T_Comm\011_Aerial</t>
  </si>
  <si>
    <t>AT012-000</t>
  </si>
  <si>
    <t>Aerial_Farm</t>
  </si>
  <si>
    <t>A collection of aerials that are collocated and serve a common purpose.</t>
  </si>
  <si>
    <t>A_Culture\T_Comm\012_Aerial_Farm</t>
  </si>
  <si>
    <t>AT020-000</t>
  </si>
  <si>
    <t>Early_Warning_Radar</t>
  </si>
  <si>
    <t>An installation utilizing long range radar to detect approaching aircraft or missiles.</t>
  </si>
  <si>
    <t>A_Culture\T_Comm\020_Early_Warning_Radar</t>
  </si>
  <si>
    <t>AT030-000</t>
  </si>
  <si>
    <t>Power_Line</t>
  </si>
  <si>
    <t>A cable that transmits or distributes electrical power. (See also AT005, AT006 and AT060)</t>
  </si>
  <si>
    <t>A_Culture\T_Comm\030_Power_Line</t>
  </si>
  <si>
    <t>AT040-000</t>
  </si>
  <si>
    <t>Power_Pylon</t>
  </si>
  <si>
    <t>A pylon or pole used to support a power transmission line.</t>
  </si>
  <si>
    <t>A_Culture\T_Comm\040_Power_Pylon</t>
  </si>
  <si>
    <t>AT041-000</t>
  </si>
  <si>
    <t>Telepheric</t>
  </si>
  <si>
    <t>A transportation system consisting of load cables strung between pylons on which carrier units (for example: cars or buckets intended to transport people, material, and/or equipment) are suspended.</t>
  </si>
  <si>
    <t>A_Culture\T_Comm\041_Telepheric</t>
  </si>
  <si>
    <t>AT042-000</t>
  </si>
  <si>
    <t>Pylon</t>
  </si>
  <si>
    <t>A pylon or pole used to support one or more cables.</t>
  </si>
  <si>
    <t>A_Culture\T_Comm\042_Pylon</t>
  </si>
  <si>
    <t>AT045-000</t>
  </si>
  <si>
    <t>Radar</t>
  </si>
  <si>
    <t>A device for transmitting and receiving radar emissions.</t>
  </si>
  <si>
    <t>A_Culture\T_Comm\045_Radar</t>
  </si>
  <si>
    <t>AT050-000</t>
  </si>
  <si>
    <t>Comm_Building</t>
  </si>
  <si>
    <t>A building in which communication signals are processed or controlled.</t>
  </si>
  <si>
    <t>A_Culture\T_Comm\050_Comm_Building</t>
  </si>
  <si>
    <t>AT060-000</t>
  </si>
  <si>
    <t>Telephone_Line</t>
  </si>
  <si>
    <t>A cable that transmits communication signals. (Rrevised concept but same code). (See also AT005, AT006, and AT030)</t>
  </si>
  <si>
    <t>A_Culture\T_Comm\060_Telephone_Line</t>
  </si>
  <si>
    <t>AT070-000</t>
  </si>
  <si>
    <t>Telephone_Pylon</t>
  </si>
  <si>
    <t>A pylon that supports one or more communication lines. (Rrevised concept but same code)</t>
  </si>
  <si>
    <t>A_Culture\T_Comm\070_Telephone_Pylon</t>
  </si>
  <si>
    <t>AT080-000</t>
  </si>
  <si>
    <t>Comm_Tower</t>
  </si>
  <si>
    <t>A relatively tall structure used for transmitting and/or receiving electronic communication signals. (See also AQ060)</t>
  </si>
  <si>
    <t>A_Culture\T_Comm\080_Comm_Tower</t>
  </si>
  <si>
    <t>Airport</t>
  </si>
  <si>
    <t>Hydrography</t>
  </si>
  <si>
    <t>BA005-000</t>
  </si>
  <si>
    <t>High_Water_Line</t>
  </si>
  <si>
    <t>The line dividing the backshore and foreshore along a coast or beach as defined by the National Authority.</t>
  </si>
  <si>
    <t>B_Hydrography\A_Coastal\005_High_Water_Line</t>
  </si>
  <si>
    <t>BA010-000</t>
  </si>
  <si>
    <t>Coastline_or_Shoreline</t>
  </si>
  <si>
    <t>The line where a land mass is in contact with a body of water.</t>
  </si>
  <si>
    <t>B_Hydrography\A_Coastal\010_Coastline_or_Shoreline</t>
  </si>
  <si>
    <t>BA011-000</t>
  </si>
  <si>
    <t>Coastline</t>
  </si>
  <si>
    <t>A line generally following the contact between a land mass and a body of water, based on the low water line, and used as a reference for measuring international boundaries such as Territorial Limits or Exclusive Economic Zone (EEZ).</t>
  </si>
  <si>
    <t>B_Hydrography\A_Coastal\011_Coastline</t>
  </si>
  <si>
    <t>BA020-000</t>
  </si>
  <si>
    <t>Foreshore</t>
  </si>
  <si>
    <t>That part of the shore or beach which lies between the low water mark and the coastline/shoreline. The same condition may exist in non-contiguous off-shore areas. (Superseeded by BA023)</t>
  </si>
  <si>
    <t>B_Hydrography\A_Coastal\020_Foreshore</t>
  </si>
  <si>
    <t>BA021-000</t>
  </si>
  <si>
    <t>Nearshore</t>
  </si>
  <si>
    <t>Area between the 10 meter depth curve and the low water line defined by either Mean Low Water Springs (MLWS) or Mean Low Low Water (MLLW) as defined by the National Authority. (See also BA020, BA022, and BA023)</t>
  </si>
  <si>
    <t>B_Hydrography\A_Coastal\021_Nearshore</t>
  </si>
  <si>
    <t>BA022-000</t>
  </si>
  <si>
    <t>Backshore</t>
  </si>
  <si>
    <t>Area between the normal limit of wave action above either Mean High Water Springs (MHWS) or Mean High High Water (MHHW) as defined by the National Authority and the maximum limit of wave action. (See also BA020, BA021, and BA023)</t>
  </si>
  <si>
    <t>B_Hydrography\A_Coastal\022_Backshore</t>
  </si>
  <si>
    <t>BA023-000</t>
  </si>
  <si>
    <t>Area between the low water line defined by Mean Low Water Springs (MLWS) or Mean Low Low Water (MLLW) as appropriate and the normal limit of wave action above Mean High Water Springs (MHWS) or Mean High High Water (MHHW) as appropriate. (See also BA020, BA021, and BA022)</t>
  </si>
  <si>
    <t>B_Hydrography\A_Coastal\023_Foreshore</t>
  </si>
  <si>
    <t>BA024-000</t>
  </si>
  <si>
    <t>Shoreline</t>
  </si>
  <si>
    <t>A line drawn along the normal limit of wave action above either Mean High Water Springs (MHWS) or Mean High High Water (MHHW) as defined by the National Authority.</t>
  </si>
  <si>
    <t>B_Hydrography\A_Coastal\024_Shoreline</t>
  </si>
  <si>
    <t>BA025-000</t>
  </si>
  <si>
    <t>Offshore</t>
  </si>
  <si>
    <t>The comparatively flat zone of variable width that extends from the outer margin of the rather steeply sloping shoreface to the edge of the continental shelf.</t>
  </si>
  <si>
    <t>B_Hydrography\A_Coastal\025_Offshore</t>
  </si>
  <si>
    <t>BA030-000</t>
  </si>
  <si>
    <t>Island</t>
  </si>
  <si>
    <t>A land mass smaller than a continent and surrounded by water.</t>
  </si>
  <si>
    <t>B_Hydrography\A_Coastal\030_Island</t>
  </si>
  <si>
    <t>BA040-000</t>
  </si>
  <si>
    <t>An area of water which normally has tidal fluctuations.</t>
  </si>
  <si>
    <t>B_Hydrography\A_Coastal\040_Water</t>
  </si>
  <si>
    <t>BA050-000</t>
  </si>
  <si>
    <t>Beach</t>
  </si>
  <si>
    <t>The shore of the sea or lake, sandy or pebbly, brought up by the waves (including the foreshore area). (See also BA020, BA021, BA022 and BA023)</t>
  </si>
  <si>
    <t>B_Hydrography\A_Coastal\050_Beach</t>
  </si>
  <si>
    <t>BA051-000</t>
  </si>
  <si>
    <t>Dyke_Crown</t>
  </si>
  <si>
    <t>A man-made embankment to contain or hold back water.. (See also DB090)</t>
  </si>
  <si>
    <t>check dyke_crown</t>
  </si>
  <si>
    <t>BA052-000</t>
  </si>
  <si>
    <t>Beach_Exit</t>
  </si>
  <si>
    <t>A point from which exit can be made from a beach.</t>
  </si>
  <si>
    <t>B_Hydrography\A_Coastal\052_Beach_Exit</t>
  </si>
  <si>
    <t>BA070-000</t>
  </si>
  <si>
    <t>Waterbody_Bar</t>
  </si>
  <si>
    <t>A shallow ridge or mound of unconsolidated mineral material that is located in a stream channel, at the mouth of a stream, in an estuary, at a lagoon, in the wave-break zone along a coast or at the sea bottom.</t>
  </si>
  <si>
    <t>B_Hydrography\A_Coastal\070_Waterbody_Bar</t>
  </si>
  <si>
    <t>Harbor</t>
  </si>
  <si>
    <t>BB005-000</t>
  </si>
  <si>
    <t>A natural or artificial improved body of water providing protection for vessels and anchorage and docking facilities.</t>
  </si>
  <si>
    <t>B_Hydrography\B_Harbor\005_Harbor</t>
  </si>
  <si>
    <t>BB006-000</t>
  </si>
  <si>
    <t>Harbor_Complex</t>
  </si>
  <si>
    <t>Complex feature with possible components: many simple features, and complex features BB011, BC099, BC098. Superseeded by BB005</t>
  </si>
  <si>
    <t>B_Hydrography\B_Harbor\006_Harbor_Complex</t>
  </si>
  <si>
    <t>BB007-000</t>
  </si>
  <si>
    <t>Channel_Edge</t>
  </si>
  <si>
    <t>Complex feature with possible components: BC099, BC098. (Retired)</t>
  </si>
  <si>
    <t>B_Hydrography\B_Harbor\007_Channel_Edge</t>
  </si>
  <si>
    <t>BB008-000</t>
  </si>
  <si>
    <t>Harbour_Waters</t>
  </si>
  <si>
    <t>A natural or artificial improved body of water providing protection for vessels and usually associated with a port.</t>
  </si>
  <si>
    <t>B_Hydrography\B_Harbor\008_Harbour_Waters</t>
  </si>
  <si>
    <t>BB009-000</t>
  </si>
  <si>
    <t>Port</t>
  </si>
  <si>
    <t>A place provided with terminal and transfer facilities for loading and/or discharging cargo or passengers, usually located in a harbour.</t>
  </si>
  <si>
    <t>B_Hydrography\B_Harbor\009_Port</t>
  </si>
  <si>
    <t>BB010-000</t>
  </si>
  <si>
    <t>Anchorage</t>
  </si>
  <si>
    <t>An area of water where vessels anchor or may anchor.</t>
  </si>
  <si>
    <t>B_Hydrography\B_Harbor\010_Anchorage</t>
  </si>
  <si>
    <t>BB011-000</t>
  </si>
  <si>
    <t>Anchorage-Complex</t>
  </si>
  <si>
    <t>Complex feature with possible components: BB010, BC099, BC098. Superseeded by BB010</t>
  </si>
  <si>
    <t>B_Hydrography\B_Harbor\011_Anchorage-Complex</t>
  </si>
  <si>
    <t>BB012-000</t>
  </si>
  <si>
    <t>Anchor_Berth</t>
  </si>
  <si>
    <t>A designated area of water where a single vessel, sea plane, oil rig, etc. is anchored or may anchor.</t>
  </si>
  <si>
    <t>B_Hydrography\B_Harbor\012_Anchor_Berth</t>
  </si>
  <si>
    <t>BB015-000</t>
  </si>
  <si>
    <t>Roadstead</t>
  </si>
  <si>
    <t>An area near the shore where vessels can anchor in safety, usually a shallow indentation in the coast.</t>
  </si>
  <si>
    <t>B_Hydrography\B_Harbor\015_Roadstead</t>
  </si>
  <si>
    <t>BB019-000</t>
  </si>
  <si>
    <t>Anchor</t>
  </si>
  <si>
    <t>Device normally placed on the sea bottom and attached to a cable or rope used to position a vessel, boat, or any other floating structure.</t>
  </si>
  <si>
    <t>B_Hydrography\B_Harbor\019_Anchor</t>
  </si>
  <si>
    <t>BB020-000</t>
  </si>
  <si>
    <t>Berth</t>
  </si>
  <si>
    <t>A named or numbered place where a vessel is moored at a wharf..</t>
  </si>
  <si>
    <t>B_Hydrography\B_Harbor\020_Berth</t>
  </si>
  <si>
    <t>BB021-000</t>
  </si>
  <si>
    <t>Mooring_Trot</t>
  </si>
  <si>
    <t>Complex feature with possible components: BB019, BC098.</t>
  </si>
  <si>
    <t>B_Hydrography\B_Harbor\021_Mooring_Trot</t>
  </si>
  <si>
    <t>BB022-000</t>
  </si>
  <si>
    <t>Basin</t>
  </si>
  <si>
    <t>An enclosure containing water for a dock for ships. (Retired; specific basin types are all available as features and this generalized feature is not useful or used.)</t>
  </si>
  <si>
    <t>B_Hydrography\B_Harbor\022_Basin</t>
  </si>
  <si>
    <t>BB030-000</t>
  </si>
  <si>
    <t>Bollard</t>
  </si>
  <si>
    <t>A post on a wharf used for fastening mooring lines.</t>
  </si>
  <si>
    <t>B_Hydrography\B_Harbor\030_Bollard</t>
  </si>
  <si>
    <t>BB040-000</t>
  </si>
  <si>
    <t>Groyne</t>
  </si>
  <si>
    <t>A structure which protects a harbor or beach from forces of the sea. (Superseeded by BB041) (See also BB140)</t>
  </si>
  <si>
    <t>B_Hydrography\B_Harbor\040_Groyne</t>
  </si>
  <si>
    <t>BB041-000</t>
  </si>
  <si>
    <t>Breakwater</t>
  </si>
  <si>
    <t>A structure that protects a waterbody region (for example: a shore, a harbour, and/or an anchorage) from water waves by preventing them from reaching the protected region or reducing their magnitude. (See also BB140 and BB042)</t>
  </si>
  <si>
    <t>B_Hydrography\B_Harbor\041_Breakwater</t>
  </si>
  <si>
    <t>BB042-000</t>
  </si>
  <si>
    <t>Mole</t>
  </si>
  <si>
    <t>A loading and discharge place for vessels. It is usually a substantial masonry structure, and often serves as a breakwater on its outer side while offering facilities for ships in its inner side.</t>
  </si>
  <si>
    <t>B_Hydrography\B_Harbor\042_Mole</t>
  </si>
  <si>
    <t>BB043-000</t>
  </si>
  <si>
    <t>Groin</t>
  </si>
  <si>
    <t>A low artificial wall-like structure of durable material extending from the land to seaward for a particular purpose, such as to prevent coast erosion.. (See also BB140 and BB041)</t>
  </si>
  <si>
    <t>B_Hydrography\B_Harbor\043_Groin</t>
  </si>
  <si>
    <t>BB050-000</t>
  </si>
  <si>
    <t>Calling-In_Point</t>
  </si>
  <si>
    <t>A specified point some distance from the harbor at which a vessel's navigator notifies the harbor authority of his ship's position. (Note that this is not the same as GA055 which is for aircraft only).</t>
  </si>
  <si>
    <t>B_Hydrography\B_Harbor\050_Calling-In_Point</t>
  </si>
  <si>
    <t>BB079-000</t>
  </si>
  <si>
    <t>Mooring_Facility</t>
  </si>
  <si>
    <t>A structure used for mooring/warping a ship or as protection for harbor constructions.</t>
  </si>
  <si>
    <t>B_Hydrography\B_Harbor\079_Mooring_Facility</t>
  </si>
  <si>
    <t>BB080-000</t>
  </si>
  <si>
    <t>Dolphin</t>
  </si>
  <si>
    <t>A post or group of posts used for mooring, warping a ship or as an aid to navigation.</t>
  </si>
  <si>
    <t>B_Hydrography\B_Harbor\080_Dolphin</t>
  </si>
  <si>
    <t>BB081-000</t>
  </si>
  <si>
    <t>Shoreline_Constr</t>
  </si>
  <si>
    <t>A fixed (not afloat) artificial structure attached to the land. Shoreline constructions are normally used for berthing and protection.</t>
  </si>
  <si>
    <t>B_Hydrography\B_Harbor\081_Shoreline_Constr</t>
  </si>
  <si>
    <t>BB082-000</t>
  </si>
  <si>
    <t>Shoreline_Ramp</t>
  </si>
  <si>
    <t>A ramp-like structure on a shoreline that is intended to facilitate the movement of vessels and/or materials (for example: logs) into or out of the water.</t>
  </si>
  <si>
    <t>B_Hydrography\B_Harbor\082_Shoreline_Ramp</t>
  </si>
  <si>
    <t>BB090-000</t>
  </si>
  <si>
    <t>Drydock</t>
  </si>
  <si>
    <t>A structure, providing support for a vessel, which has a means of removing water so that the bottom of the vessel can be exposed.</t>
  </si>
  <si>
    <t>B_Hydrography\B_Harbor\090_Drydock</t>
  </si>
  <si>
    <t>BB091-000</t>
  </si>
  <si>
    <t>Dry_Dock_Basin</t>
  </si>
  <si>
    <t>The reservoir in a dry dock bounded by the dry dock wall and dry dock gate.</t>
  </si>
  <si>
    <t>B_Hydrography\B_Harbor\091_Dry_Dock_Basin</t>
  </si>
  <si>
    <t>BB092-000</t>
  </si>
  <si>
    <t>Dry_Dock_Wall</t>
  </si>
  <si>
    <t>The wall of a dry dock.</t>
  </si>
  <si>
    <t>B_Hydrography\B_Harbor\092_Dry_Dock_Wall</t>
  </si>
  <si>
    <t>BB095-000</t>
  </si>
  <si>
    <t>Dock</t>
  </si>
  <si>
    <t>An artificially enclosed body of water within which vessels may moor and which may have gates used to regulate the interior water level.</t>
  </si>
  <si>
    <t>B_Hydrography\B_Harbor\095_Dock</t>
  </si>
  <si>
    <t>BB100-000</t>
  </si>
  <si>
    <t>Fish_Stakes</t>
  </si>
  <si>
    <t>Poles or stakes placed in shallow water to catch fish.</t>
  </si>
  <si>
    <t>B_Hydrography\B_Harbor\100_Fish_Stakes</t>
  </si>
  <si>
    <t>BB105-000</t>
  </si>
  <si>
    <t>Fishing_Harbor</t>
  </si>
  <si>
    <t>A harbor which is primarily used by fishing vessels.</t>
  </si>
  <si>
    <t>B_Hydrography\B_Harbor\105_Fishing_Harbor</t>
  </si>
  <si>
    <t>BB110-000</t>
  </si>
  <si>
    <t>Fish_Trap</t>
  </si>
  <si>
    <t>A fence or enclosure set in water to catch fish.</t>
  </si>
  <si>
    <t>B_Hydrography\B_Harbor\110_Fish_Trap</t>
  </si>
  <si>
    <t>BB111-000</t>
  </si>
  <si>
    <t>Tunny</t>
  </si>
  <si>
    <t>An area where nets used for catching tunny (tuna) may be found.</t>
  </si>
  <si>
    <t>B_Hydrography\B_Harbor\111_Tunny</t>
  </si>
  <si>
    <t>BB112-000</t>
  </si>
  <si>
    <t>Fish_Trap_Area</t>
  </si>
  <si>
    <t>An area containing structures (usually portable) for catching fish.</t>
  </si>
  <si>
    <t>B_Hydrography\B_Harbor\112_Fish_Trap_Area</t>
  </si>
  <si>
    <t>BB115-000</t>
  </si>
  <si>
    <t>Gridiron</t>
  </si>
  <si>
    <t>A flat frame, usually of parallel timber baulks, erected on the foreshore so that a vessel may dry out on it for painting or repair at low water.</t>
  </si>
  <si>
    <t>B_Hydrography\B_Harbor\115_Gridiron</t>
  </si>
  <si>
    <t>BB140-000</t>
  </si>
  <si>
    <t>Jetty</t>
  </si>
  <si>
    <t>A man-made barrier built out into, or in the water, primarily to restrain or direct currents and waves. (See also AQ030 and BB040)</t>
  </si>
  <si>
    <t>B_Hydrography\B_Harbor\140_Jetty</t>
  </si>
  <si>
    <t>BB149-000</t>
  </si>
  <si>
    <t>Boat_Landing</t>
  </si>
  <si>
    <t>A place where boats receive or discharge passengers and freight, but lacking most port facilities.</t>
  </si>
  <si>
    <t>B_Hydrography\B_Harbor\149_Boat_Landing</t>
  </si>
  <si>
    <t>BB150-000</t>
  </si>
  <si>
    <t>Landing_Place</t>
  </si>
  <si>
    <t>A place on shore where landing from the sea is possible.</t>
  </si>
  <si>
    <t>B_Hydrography\B_Harbor\150_Landing_Place</t>
  </si>
  <si>
    <t>BB151-000</t>
  </si>
  <si>
    <t>Landing_Stair</t>
  </si>
  <si>
    <t>Steps at the shoreline as the connection between land and water on different levels.</t>
  </si>
  <si>
    <t>B_Hydrography\B_Harbor\151_Landing_Stair</t>
  </si>
  <si>
    <t>BB155-000</t>
  </si>
  <si>
    <t>A facility occupied by a governmental (maritime related) or harbor authority, providing specific services to vessels. A signal station is a structure (building, tower, mast, etc.), which conveys information visually from station to ship.</t>
  </si>
  <si>
    <t>B_Hydrography\B_Harbor\155_Maritime_Station</t>
  </si>
  <si>
    <t>BB160-000</t>
  </si>
  <si>
    <t>Mooring_Ring</t>
  </si>
  <si>
    <t>A metal ring attached to a structure and used to secure a vessel.</t>
  </si>
  <si>
    <t>B_Hydrography\B_Harbor\160_Mooring_Ring</t>
  </si>
  <si>
    <t>BB170-000</t>
  </si>
  <si>
    <t>Loading_Facility</t>
  </si>
  <si>
    <t>A facility located offshore for loading and unloading cargo.</t>
  </si>
  <si>
    <t>B_Hydrography\B_Harbor\170_Loading_Facility</t>
  </si>
  <si>
    <t>BB175-000</t>
  </si>
  <si>
    <t>Mobile_Offshore_Drill_Unit</t>
  </si>
  <si>
    <t>A self-contained floatable or floating drilling machine that appears as an offshore working platform when in position for operations.</t>
  </si>
  <si>
    <t>B_Hydrography\B_Harbor\175_Mobile_Offshore_Drill_Unit</t>
  </si>
  <si>
    <t>BB180-000</t>
  </si>
  <si>
    <t>Oyster_Bed</t>
  </si>
  <si>
    <t>A place in shallow water where oysters and mussels breed and may be cultivated. (Retire; if cultivated then this is a Marine Farm, if not it is normally treated as a bottom characteristic.)</t>
  </si>
  <si>
    <t>B_Hydrography\B_Harbor\180_Oyster_Bed</t>
  </si>
  <si>
    <t>BB190</t>
  </si>
  <si>
    <t>Pier</t>
  </si>
  <si>
    <t>B_Hydrography\B_Harbor\190_Pier</t>
  </si>
  <si>
    <t>BB190-000</t>
  </si>
  <si>
    <t>Pier_Generic</t>
  </si>
  <si>
    <t>A structure primarily used as berthing places for vessels.</t>
  </si>
  <si>
    <t>BB190-001</t>
  </si>
  <si>
    <t>A long, narrow STRUCTURE extending into a WATERBODY to afford a berthing place for VESSELs or to serve as a promenade; a pier.</t>
  </si>
  <si>
    <t>BB190-002</t>
  </si>
  <si>
    <t>Wharf</t>
  </si>
  <si>
    <t>A STRUCTURE serving as a berthing place for VESSELs; a wharf.</t>
  </si>
  <si>
    <t>BB190-003</t>
  </si>
  <si>
    <t>Quay</t>
  </si>
  <si>
    <t>A platform STRUCTURE lying alongside or projecting into water for loading and unloading ships.</t>
  </si>
  <si>
    <t>BB190-999</t>
  </si>
  <si>
    <t>A pier-type other than those listed above.</t>
  </si>
  <si>
    <t>BB198-000</t>
  </si>
  <si>
    <t>Fender</t>
  </si>
  <si>
    <t>A protective structure designed to cushion the impact of a vessel and prevent damage. (Retired; concept is at best semi-permanent and generally small. Possibly shoud be considered as a type of shoreline construction.)</t>
  </si>
  <si>
    <t>B_Hydrography\B_Harbor\198_Fender</t>
  </si>
  <si>
    <t>BB199-000</t>
  </si>
  <si>
    <t>Floating_Dock</t>
  </si>
  <si>
    <t>A dock which normally consists of a bottom pontoon, on which a ship can be lifted out of the water, and two side walls to give stability to the bottom pontoon.</t>
  </si>
  <si>
    <t>B_Hydrography\B_Harbor\199_Floating_Dock</t>
  </si>
  <si>
    <t>BB200-000</t>
  </si>
  <si>
    <t>Pump_Out_Facility</t>
  </si>
  <si>
    <t>A place on land to where ships can pump waste liquids.</t>
  </si>
  <si>
    <t>B_Hydrography\B_Harbor\200_Pump_Out_Facility</t>
  </si>
  <si>
    <t>BB201-000</t>
  </si>
  <si>
    <t>Small_Craft_Facility</t>
  </si>
  <si>
    <t>An installation with a certain function or service generally of interest for small craft or pleasure boats.</t>
  </si>
  <si>
    <t>B_Hydrography\B_Harbor\201_Small_Craft_Facility</t>
  </si>
  <si>
    <t>BB202-000</t>
  </si>
  <si>
    <t>Ice_Boom</t>
  </si>
  <si>
    <t>Floating barriers, anchored to the bottom, used to deflect the path of floating ice in order to prevent the obstruction of locks, intakes, etc., and to prevent damage to bridge piers and other structures.</t>
  </si>
  <si>
    <t>B_Hydrography\B_Harbor\202_Ice_Boom</t>
  </si>
  <si>
    <t>BB220-000</t>
  </si>
  <si>
    <t>A partially submerged hard surfaced area on a shoreline for launching and retrieving vessels or vehicles.</t>
  </si>
  <si>
    <t>B_Hydrography\B_Harbor\220_Ramp</t>
  </si>
  <si>
    <t>BB221-000</t>
  </si>
  <si>
    <t>Log_Ramp</t>
  </si>
  <si>
    <t>An inclined plane used to dump logs into the water for transport, or to haul logs out of the water for processing.</t>
  </si>
  <si>
    <t>B_Hydrography\B_Harbor\221_Log_Ramp</t>
  </si>
  <si>
    <t>BB225-000</t>
  </si>
  <si>
    <t>Rip_Rap</t>
  </si>
  <si>
    <t>A loose assemblage of broken stones or similar material erected in water or on soft ground as a foundation or to protect the underlying surface from erosion.</t>
  </si>
  <si>
    <t>B_Hydrography\B_Harbor\225_Rip_Rap</t>
  </si>
  <si>
    <t>BB226-000</t>
  </si>
  <si>
    <t>Shore_Revetment</t>
  </si>
  <si>
    <t>Facing of stone or other material placed along the edge of a stream, river or canal to stabilize the bank and to protect it from the erosive action of the stream.</t>
  </si>
  <si>
    <t>B_Hydrography\B_Harbor\226_Shore_Revetment</t>
  </si>
  <si>
    <t>BB230-000</t>
  </si>
  <si>
    <t>Seawall</t>
  </si>
  <si>
    <t>A structure built to protect the shore from erosion.</t>
  </si>
  <si>
    <t>B_Hydrography\B_Harbor\230_Seawall</t>
  </si>
  <si>
    <t>BB240-000</t>
  </si>
  <si>
    <t>Slipway</t>
  </si>
  <si>
    <t>A prepared slope for launching and recovering vessels.</t>
  </si>
  <si>
    <t>B_Hydrography\B_Harbor\240_Slipway</t>
  </si>
  <si>
    <t>BB241-000</t>
  </si>
  <si>
    <t>A large enclosed area adjoining the sea or a major river, including facilities in which ships are built or repaired.</t>
  </si>
  <si>
    <t>B_Hydrography\B_Harbor\241_Shipyard</t>
  </si>
  <si>
    <t>BB250-000</t>
  </si>
  <si>
    <t>Watering_Place</t>
  </si>
  <si>
    <t>A place where vessels can replenish their water supply. (Retired; this is coded as a hydrographic feature, it is better expressed as a type of facility, and is not known to be in current use.)</t>
  </si>
  <si>
    <t>B_Hydrography\B_Harbor\250_Watering_Place</t>
  </si>
  <si>
    <t>BB270-000</t>
  </si>
  <si>
    <t>Pilot_Boarding_Place</t>
  </si>
  <si>
    <t>A location offshore where a pilot may board a vessel in preparation to piloting it through local waters.</t>
  </si>
  <si>
    <t>B_Hydrography\B_Harbor\270_Pilot_Boarding_Place</t>
  </si>
  <si>
    <t>BC010-000</t>
  </si>
  <si>
    <t>Beacon</t>
  </si>
  <si>
    <t>A fixed visual or electronic aid to navigation.</t>
  </si>
  <si>
    <t>B_Hydrography\C_NAVAID\010_Beacon</t>
  </si>
  <si>
    <t>BC020-000</t>
  </si>
  <si>
    <t>Buoy</t>
  </si>
  <si>
    <t>A floating object, other than a lightship, moored or anchored to the bottom and serving as an aid to navigation.</t>
  </si>
  <si>
    <t>B_Hydrography\C_NAVAID\020_Buoy</t>
  </si>
  <si>
    <t>BC021-000</t>
  </si>
  <si>
    <t>Lateral_Buoy</t>
  </si>
  <si>
    <t>A buoy used to indicate a lateral limit of navigable water.</t>
  </si>
  <si>
    <t>B_Hydrography\C_NAVAID\021_Lateral_Buoy</t>
  </si>
  <si>
    <t>BC030-000</t>
  </si>
  <si>
    <t>Leading_Light</t>
  </si>
  <si>
    <t>Two or more lights forming a leading line of a course to be followed.</t>
  </si>
  <si>
    <t>B_Hydrography\C_NAVAID\030_Leading_Light</t>
  </si>
  <si>
    <t>BC031-000</t>
  </si>
  <si>
    <t>Navigation_Line</t>
  </si>
  <si>
    <t>A line generated by the straight line connection between two navigational aids, and which extends towards the area of navigational interest.</t>
  </si>
  <si>
    <t>B_Hydrography\C_NAVAID\031_Navigation_Line</t>
  </si>
  <si>
    <t>BC032-000</t>
  </si>
  <si>
    <t>Radar_Line</t>
  </si>
  <si>
    <t>Mid-channel lines corresponding to the lines in harbor radar displays.</t>
  </si>
  <si>
    <t>B_Hydrography\C_NAVAID\032_Radar_Line</t>
  </si>
  <si>
    <t>BC033-000</t>
  </si>
  <si>
    <t>Radar_Range</t>
  </si>
  <si>
    <t>Indicates the coverage of a sea area by a radar surveillance station. Inside this area a vessel may request shore based radar assistance, particularly in poor visibility.</t>
  </si>
  <si>
    <t>B_Hydrography\C_NAVAID\033_Radar_Range</t>
  </si>
  <si>
    <t>BC034-000</t>
  </si>
  <si>
    <t>Maritime_Radiobeacon</t>
  </si>
  <si>
    <t>An electronic aid to maritime navigation consisting of a radio transmitter that broadcasts distinctive signals.</t>
  </si>
  <si>
    <t>B_Hydrography\C_NAVAID\034_Maritime_Radiobeacon</t>
  </si>
  <si>
    <t>BC035-000</t>
  </si>
  <si>
    <t>Lights_in_Line</t>
  </si>
  <si>
    <t>Lights marking area limits, cable alignment, alignments for anchoring, etc., not marking direction or course.</t>
  </si>
  <si>
    <t>B_Hydrography\C_NAVAID\035_Lights_in_Line</t>
  </si>
  <si>
    <t>BC040-000</t>
  </si>
  <si>
    <t>Light</t>
  </si>
  <si>
    <t>A specially constructed device which displays a luminous or lighted aid to navigation. (See also BC050)</t>
  </si>
  <si>
    <t>B_Hydrography\C_NAVAID\040_Light</t>
  </si>
  <si>
    <t>BC050-000</t>
  </si>
  <si>
    <t>A distinctive structure exhibiting light(s) designed to serve as an aid to navigation. (See also BC040)</t>
  </si>
  <si>
    <t>B_Hydrography\C_NAVAID\050_Lighthouse</t>
  </si>
  <si>
    <t>BC055-000</t>
  </si>
  <si>
    <t>Marker</t>
  </si>
  <si>
    <t>A colored (usually white) mark on a cliff, rock, wall, etc. which is a conspicuous landmark for marine navigation.</t>
  </si>
  <si>
    <t>B_Hydrography\C_NAVAID\055_Marker</t>
  </si>
  <si>
    <t>BC060-000</t>
  </si>
  <si>
    <t>Light_Sector</t>
  </si>
  <si>
    <t>A sector defined by bearings from seaward within which a light shows a specified character or color, or is obscured.</t>
  </si>
  <si>
    <t>B_Hydrography\C_NAVAID\060_Light_Sector</t>
  </si>
  <si>
    <t>BC070-000</t>
  </si>
  <si>
    <t>Light_Vessel</t>
  </si>
  <si>
    <t>A distinctively marked manned vessel anchored or moored at a defined point to serve as an aid to navigation.</t>
  </si>
  <si>
    <t>B_Hydrography\C_NAVAID\070_Light_Vessel</t>
  </si>
  <si>
    <t>BC080-000</t>
  </si>
  <si>
    <t>Perches</t>
  </si>
  <si>
    <t>A small marker used to identify channels or to mark dangers such as rocks, shoals, etc. (See also BD100 and BD140)</t>
  </si>
  <si>
    <t>B_Hydrography\C_NAVAID\080_Perches</t>
  </si>
  <si>
    <t>BC098-000</t>
  </si>
  <si>
    <t>Nav_Mark-Afloat</t>
  </si>
  <si>
    <t>Complex feature with possible components made of many simple features only. (Retired; complex features no longer needed.)</t>
  </si>
  <si>
    <t>B_Hydrography\C_NAVAID\098_Nav_Mark-Afloat</t>
  </si>
  <si>
    <t>BC099-000</t>
  </si>
  <si>
    <t>Nav_Mark-Fixed</t>
  </si>
  <si>
    <t>B_Hydrography\C_NAVAID\099_Nav_Mark-Fixed</t>
  </si>
  <si>
    <t>BC100-000</t>
  </si>
  <si>
    <t>Leading_Line</t>
  </si>
  <si>
    <t>A track which passes through one or more (usually two) clearly defined objects, along which a vessel can safely travel.</t>
  </si>
  <si>
    <t>B_Hydrography\C_NAVAID\100_Leading_Line</t>
  </si>
  <si>
    <t>BC101-000</t>
  </si>
  <si>
    <t>Fog_Signal</t>
  </si>
  <si>
    <t>A warning signal transmitted by a vessel, or aid to navigation, during periods of low visibility. Also, the device producing such a signal.</t>
  </si>
  <si>
    <t>B_Hydrography\C_NAVAID\101_Fog_Signal</t>
  </si>
  <si>
    <t>BC102-000</t>
  </si>
  <si>
    <t>Direction-Buoyage</t>
  </si>
  <si>
    <t>A point (symbol) placed in a dataset to indicate the direction defining a lateral buoyage system, such as the International Association of Lighthouse Authorities (IALA) Lateral System where the orientation is not otherwise discernable from the configuration of shoreline and waterways due to limited geographic extent or other constraints. (Retired; this cartographic object was intended to support portrayal but appears to have never been used.)</t>
  </si>
  <si>
    <t>B_Hydrography\C_NAVAID\102_Direction-Buoyage</t>
  </si>
  <si>
    <t>BC103-000</t>
  </si>
  <si>
    <t>Sound_Signal_Device</t>
  </si>
  <si>
    <t>An acoustic aid to navigation consisting of a device that generates distinctive audible sounds.</t>
  </si>
  <si>
    <t>B_Hydrography\C_NAVAID\103_Sound_Signal_Device</t>
  </si>
  <si>
    <t>BC110-000</t>
  </si>
  <si>
    <t>Topmark</t>
  </si>
  <si>
    <t>A characteristic shape secured at the top of a buoy or beacon to aid in its identification. (IHO S-32)</t>
  </si>
  <si>
    <t>B_Hydrography\C_NAVAID\110_Topmark</t>
  </si>
  <si>
    <t>Hazard</t>
  </si>
  <si>
    <t>B_Hydrography\D_Hazard</t>
  </si>
  <si>
    <t>BD000-000</t>
  </si>
  <si>
    <t>Underwater</t>
  </si>
  <si>
    <t>A known underwater object or area, known to be dangerous to surface navigation. (Retired; this feature is inappropriately generic - if the danger is known then the type of danger will also be known and a more suitable feature type used.)</t>
  </si>
  <si>
    <t>B_Hydrography\D_Hazard\000_Underwater</t>
  </si>
  <si>
    <t>BD001-000</t>
  </si>
  <si>
    <t>Mine-Naval</t>
  </si>
  <si>
    <t>An explosive device used in naval warfare located on or below the sea.</t>
  </si>
  <si>
    <t>B_Hydrography\D_Hazard\001_Mine-Naval</t>
  </si>
  <si>
    <t>BD002-000</t>
  </si>
  <si>
    <t>Small_Bottom_Object</t>
  </si>
  <si>
    <t>An object protruding above the water body bottom whose greatest dimension is less than five metres.</t>
  </si>
  <si>
    <t>B_Hydrography\D_Hazard\002_Small_Bottom_Object</t>
  </si>
  <si>
    <t>BD003-000</t>
  </si>
  <si>
    <t>Large_Bottom_Object</t>
  </si>
  <si>
    <t>An object protruding above the water body bottom of which at least one component of height, width or length is a minimum of 5 metres.</t>
  </si>
  <si>
    <t>B_Hydrography\D_Hazard\003_Large_Bottom_Object</t>
  </si>
  <si>
    <t>BD005-000</t>
  </si>
  <si>
    <t>Misc_Underwater</t>
  </si>
  <si>
    <t>An object or area on the sea floor or underwater that is not identified by any other code in this specification. (Retired; Miscellaneous Feature Type (ZD019) may be used as appropriate). (Also see BD000)</t>
  </si>
  <si>
    <t>B_Hydrography\D_Hazard\005_Misc_Underwater</t>
  </si>
  <si>
    <t>BD010-000</t>
  </si>
  <si>
    <t>Breakers</t>
  </si>
  <si>
    <t>Waves which break over off-lying shoals or near the shore. (See also BD080)</t>
  </si>
  <si>
    <t>B_Hydrography\D_Hazard\010_Breakers</t>
  </si>
  <si>
    <t>BD020-000</t>
  </si>
  <si>
    <t>Crib</t>
  </si>
  <si>
    <t>A framework structure submerged or above water used to support pipelines, sewer lines, or outfalls.</t>
  </si>
  <si>
    <t>B_Hydrography\D_Hazard\020_Crib</t>
  </si>
  <si>
    <t>BD030-000</t>
  </si>
  <si>
    <t>Discolored_Water</t>
  </si>
  <si>
    <t>An area of sea water having a color distinctly different from the surrounding water.</t>
  </si>
  <si>
    <t>B_Hydrography\D_Hazard\030_Discolored_Water</t>
  </si>
  <si>
    <t>BD040-000</t>
  </si>
  <si>
    <t>Eddy</t>
  </si>
  <si>
    <t>Circular movements of water running contrary to the main current.</t>
  </si>
  <si>
    <t>B_Hydrography\D_Hazard\040_Eddy</t>
  </si>
  <si>
    <t>BD050-000</t>
  </si>
  <si>
    <t>Foul_Ground</t>
  </si>
  <si>
    <t>A region of comparatively shallow water strewn with rocks, boulders, coral, wreckage, or other obstructions, making it unsuitable for anchoring, grounding, or ground fishing.</t>
  </si>
  <si>
    <t>B_Hydrography\D_Hazard\050_Foul_Ground</t>
  </si>
  <si>
    <t>BD060-000</t>
  </si>
  <si>
    <t>Seaweed</t>
  </si>
  <si>
    <t>A region of marine plants that grow in long narrow ribbons.</t>
  </si>
  <si>
    <t>B_Hydrography\D_Hazard\060_Seaweed</t>
  </si>
  <si>
    <t>BD061-000</t>
  </si>
  <si>
    <t>Aquatic_Vegetation</t>
  </si>
  <si>
    <t>A region of waterborne cellular or vascular plants (for example: algae, grasses, reeds, and water hyacinths).</t>
  </si>
  <si>
    <t>B_Hydrography\D_Hazard\061_Aquatic_Vegetation</t>
  </si>
  <si>
    <t>BD070-000</t>
  </si>
  <si>
    <t>Obstruction</t>
  </si>
  <si>
    <t>A danger to navigation, the exact nature of which is not specified, or has not been determined.</t>
  </si>
  <si>
    <t>B_Hydrography\D_Hazard\070_Obstruction</t>
  </si>
  <si>
    <t>BD071-000</t>
  </si>
  <si>
    <t>Log_Boom</t>
  </si>
  <si>
    <t>A line of connected, floating timbers as across a river or enclosing a water area to keep logs ready for the sawmill from floating away; also, the enclosed area. (Supersede by (new) Log Boom (BD075) and (new) Booming Ground (BD076); these are different concepts and can't be represented by a single feature type.)</t>
  </si>
  <si>
    <t>B_Hydrography\D_Hazard\071_Log_Boom</t>
  </si>
  <si>
    <t>BD072-000</t>
  </si>
  <si>
    <t>A broad, flat-bottomed floating structure without sheer, rectangular in shape, resembling a barge.</t>
  </si>
  <si>
    <t>B_Hydrography\D_Hazard\072_Pontoon</t>
  </si>
  <si>
    <t>BD073-000</t>
  </si>
  <si>
    <t>Oil_Barrier</t>
  </si>
  <si>
    <t>A construction to dam oil flow on water.</t>
  </si>
  <si>
    <t>B_Hydrography\D_Hazard\073_Oil_Barrier</t>
  </si>
  <si>
    <t>BD074-000</t>
  </si>
  <si>
    <t>Chain_or_Wire</t>
  </si>
  <si>
    <t>A physical connection between two independent objects, e.g., between: anchor and mooring buoy; anchor and offshore platform; hulk and bollard on land.</t>
  </si>
  <si>
    <t>B_Hydrography\D_Hazard\074_Chain_or_Wire</t>
  </si>
  <si>
    <t>BD075-000</t>
  </si>
  <si>
    <t>A floating barrier used to enclose and contain rafted logs.</t>
  </si>
  <si>
    <t>B_Hydrography\D_Hazard\075_Log_Boom</t>
  </si>
  <si>
    <t>BD076-000</t>
  </si>
  <si>
    <t>Booming_Ground</t>
  </si>
  <si>
    <t>A marine region used as a staging area for logs.</t>
  </si>
  <si>
    <t>B_Hydrography\D_Hazard\076_Booming_Ground</t>
  </si>
  <si>
    <t>BD079-000</t>
  </si>
  <si>
    <t>Fishing_Facility</t>
  </si>
  <si>
    <t>A tool or structure in shallow water for fishing purposes which can be an obstruction to ships in general.</t>
  </si>
  <si>
    <t>B_Hydrography\D_Hazard\079_Fishing_Facility</t>
  </si>
  <si>
    <t>BD080-000</t>
  </si>
  <si>
    <t>Tide_Rip</t>
  </si>
  <si>
    <t>Short, breaking waves occurring when a current passes over a shoal or other submarine obstruction or meets a contrary current or wind. Tide rips occur when one or more of the currents are tidal. (Retired; these are different types of water turbulence concepts and should not be combined as a single feature) .(See also BD010)</t>
  </si>
  <si>
    <t>B_Hydrography\D_Hazard\080_Tide_Rip</t>
  </si>
  <si>
    <t>BD100-000</t>
  </si>
  <si>
    <t>Pile</t>
  </si>
  <si>
    <t>A long, heavy timber or section of steel, concrete, etc., forced into the earth to serve as a support, as for a pier. (See also BC080 and BD140)</t>
  </si>
  <si>
    <t>B_Hydrography\D_Hazard\100_Pile</t>
  </si>
  <si>
    <t>B_Hydrography\D_Hazard\110_Platform</t>
  </si>
  <si>
    <t>BD110-000</t>
  </si>
  <si>
    <t>Platform_Generic</t>
  </si>
  <si>
    <t>A structure placed in the sea and used for production loading and discharge or observation/research facilities.</t>
  </si>
  <si>
    <t>BD110-001</t>
  </si>
  <si>
    <t>Oil_Rig</t>
  </si>
  <si>
    <t>A RIG assembled primarily for the purpose of drilling an oil WELL; an oil drilling rig.</t>
  </si>
  <si>
    <t>BD110-002</t>
  </si>
  <si>
    <t>Production_Platform</t>
  </si>
  <si>
    <t>A Production_Platform-type STRUCTURE placed in a WATERBODY and used: for production, loading, and discharge; as an OBSERVATION_STATION; or as a SCIENCE_FACILITY; an offshore platform.</t>
  </si>
  <si>
    <t>BD110-003</t>
  </si>
  <si>
    <t>Research_Platform</t>
  </si>
  <si>
    <t>A Research_Platform-type STRUCTURE placed in a WATERBODY and used: for production, loading, and discharge; as an OBSERVATION_STATION; or as a SCIENCE_FACILITY; an offshore platform.</t>
  </si>
  <si>
    <t>BD110-004</t>
  </si>
  <si>
    <t>Platform_ALP</t>
  </si>
  <si>
    <t>A Platform_ALP-type (Articulated Loading Platform) STRUCTURE placed in a WATERBODY and used: for production, loading, and discharge; as an OBSERVATION_STATION; or as a SCIENCE_FACILITY; an offshore platform.</t>
  </si>
  <si>
    <t>BD110-005</t>
  </si>
  <si>
    <t>SALM</t>
  </si>
  <si>
    <t>A SALM-type (Single anchor leg mooring) STRUCTURE placed in a WATERBODY and used: for production, loading, and discharge; as an OBSERVATION_STATION; or as a SCIENCE_FACILITY; an offshore platform.</t>
  </si>
  <si>
    <t>BD110-006</t>
  </si>
  <si>
    <t>A Mooring_Tower-type STRUCTURE placed in a WATERBODY and used: for production, loading, and discharge; as an OBSERVATION_STATION; or as a SCIENCE_FACILITY; an offshore platform.</t>
  </si>
  <si>
    <t>BD110-007</t>
  </si>
  <si>
    <t>Artificial_Island</t>
  </si>
  <si>
    <t>An Artificial_Island-type STRUCTURE placed in a WATERBODY and used: for production, loading, and discharge; as an OBSERVATION_STATION; or as a SCIENCE_FACILITY; an offshore platform.</t>
  </si>
  <si>
    <t>BD110-008</t>
  </si>
  <si>
    <t>FPSO_Vessel</t>
  </si>
  <si>
    <t>A FPSO_Vessel-type (Floating production, storage and off-loading vessel) STRUCTURE placed in a WATERBODY and used: for production, loading, and discharge; as an OBSERVATION_STATION; or as a SCIENCE_FACILITY; an offshore platform.</t>
  </si>
  <si>
    <t>BD110-009</t>
  </si>
  <si>
    <t>Accom_Platform</t>
  </si>
  <si>
    <t>An Accommodation Platform-type STRUCTURE placed in a WATERBODY and used: for production, loading, and discharge; as an OBSERVATION_STATION; or as a SCIENCE_FACILITY; an offshore platform.</t>
  </si>
  <si>
    <t>BD110-999</t>
  </si>
  <si>
    <t>An Other-type STRUCTURE placed in a WATERBODY and used: for production, loading, and discharge; as an OBSERVATION_STATION; or as a SCIENCE_FACILITY; an offshore platform.</t>
  </si>
  <si>
    <t>BD111-000</t>
  </si>
  <si>
    <t>Offshore_Platform</t>
  </si>
  <si>
    <t>An offshore structure with a flat surface raised above the sea, used as a working stage for conducting offshore operations. (Superseded by Platform (BD110) as the current concept is unnecessarily specialized and effectively redundant).</t>
  </si>
  <si>
    <t>B_Hydrography\D_Hazard\111_Offshore_Platform</t>
  </si>
  <si>
    <t>BD112-000</t>
  </si>
  <si>
    <t>Prod_Installation</t>
  </si>
  <si>
    <t>An installation for the exploitation of natural resources. (Retired; definition is unclear and it appears to be unused).</t>
  </si>
  <si>
    <t>B_Hydrography\D_Hazard\112_Prod_Installation</t>
  </si>
  <si>
    <t>BD115-000</t>
  </si>
  <si>
    <t>Offshore_Construction</t>
  </si>
  <si>
    <t>An artificial structure that is located offshore.</t>
  </si>
  <si>
    <t>B_Hydrography\D_Hazard\115_Offshore_Construction</t>
  </si>
  <si>
    <t>BD119-000</t>
  </si>
  <si>
    <t>Ledge</t>
  </si>
  <si>
    <t>A narrow, flat surface or shelf, especially one that projects, as from a wall of rock. (Retired; unnecessarily specialized and not in current use)</t>
  </si>
  <si>
    <t>B_Hydrography\D_Hazard\119_Ledge</t>
  </si>
  <si>
    <t>BD120-000</t>
  </si>
  <si>
    <t>Reef</t>
  </si>
  <si>
    <t>A rocky or coral elevation at or near enough to the surface of the sea to be a danger to surface navigation.</t>
  </si>
  <si>
    <t>B_Hydrography\D_Hazard\120_Reef</t>
  </si>
  <si>
    <t>BD121-000</t>
  </si>
  <si>
    <t>Pingo</t>
  </si>
  <si>
    <t>A cone or dome shaped mound or hill of peat or soil, usually with a core of ice. It is found in tundra regions and is produced by the pressure of water or ice accumulating underground and pushing upward.</t>
  </si>
  <si>
    <t>B_Hydrography\D_Hazard\121_Pingo</t>
  </si>
  <si>
    <t>BD122-000</t>
  </si>
  <si>
    <t>Cay</t>
  </si>
  <si>
    <t>A small insular feature, which may contain scant vegetation; usually composed of sand or coral. Often applied to smaller coral shoals.</t>
  </si>
  <si>
    <t>B_Hydrography\D_Hazard\122_Cay</t>
  </si>
  <si>
    <t>BD123-000</t>
  </si>
  <si>
    <t>Boom</t>
  </si>
  <si>
    <t>A floating barrier used to protect a river or harbor mouth or to create a sheltered area for storage purposes.</t>
  </si>
  <si>
    <t>B_Hydrography\D_Hazard\123_Boom</t>
  </si>
  <si>
    <t>BD125-000</t>
  </si>
  <si>
    <t>Fish_Haven</t>
  </si>
  <si>
    <t>An area on a water body bottom established to simulate a natural reef and intended to enhance fishery resources and commercial and/or recreational fishing opportunities.</t>
  </si>
  <si>
    <t>B_Hydrography\D_Hazard\125_Fish_Haven</t>
  </si>
  <si>
    <t>BD130-000</t>
  </si>
  <si>
    <t>Rock</t>
  </si>
  <si>
    <t>An isolated rocky formation or a single large stone above or below the water surface.</t>
  </si>
  <si>
    <t>B_Hydrography\D_Hazard\130_Rock</t>
  </si>
  <si>
    <t>BD140-000</t>
  </si>
  <si>
    <t>Snag_or_Stump</t>
  </si>
  <si>
    <t>A stem or a trunk of a tree below the surface of water. (See also BC080 and BD100)</t>
  </si>
  <si>
    <t>B_Hydrography\D_Hazard\140_Snag_or_Stump</t>
  </si>
  <si>
    <t>BD180-000</t>
  </si>
  <si>
    <t>Wreck</t>
  </si>
  <si>
    <t>The ruined remains of a vessel.</t>
  </si>
  <si>
    <t>B_Hydrography\D_Hazard\180_Wreck</t>
  </si>
  <si>
    <t>BD181-000</t>
  </si>
  <si>
    <t>Hulk</t>
  </si>
  <si>
    <t>A permanently moored ship.</t>
  </si>
  <si>
    <t>B_Hydrography\D_Hazard\181_Hulk</t>
  </si>
  <si>
    <t>BD190-000</t>
  </si>
  <si>
    <t>Non_Submarine_Contact</t>
  </si>
  <si>
    <t>An object on the sea floor (for example: a wreck) that, when detected (for example: using acoustic or magnetic sensors), appears similar to and could be confused with a operating submarine.</t>
  </si>
  <si>
    <t>B_Hydrography\D_Hazard\190_Non_Submarine_Contact</t>
  </si>
  <si>
    <t>BE010-000</t>
  </si>
  <si>
    <t>Depth_Curve</t>
  </si>
  <si>
    <t>A navigational safety line indicating that no sounding of a lesser depth exists seaward of the line, but greater depths may occur on the shallow side of the line.</t>
  </si>
  <si>
    <t>B_Hydrography\E_Depth_Info\010_Depth_Curve</t>
  </si>
  <si>
    <t>BE015-000</t>
  </si>
  <si>
    <t>Depth_Contour</t>
  </si>
  <si>
    <t>A line connecting points of equal depth at and below the hydrographic datum.</t>
  </si>
  <si>
    <t>B_Hydrography\E_Depth_Info\015_Depth_Contour</t>
  </si>
  <si>
    <t>BE019-000</t>
  </si>
  <si>
    <t>Depth_Area</t>
  </si>
  <si>
    <t>Water area containing soundings within a defined range of values permanently at or below sounding datum.</t>
  </si>
  <si>
    <t>B_Hydrography\E_Depth_Info\019_Depth_Area</t>
  </si>
  <si>
    <t>BE020-000</t>
  </si>
  <si>
    <t>Sounding</t>
  </si>
  <si>
    <t>A measured water depth or spot depth which has been reduced to chart datum.</t>
  </si>
  <si>
    <t>B_Hydrography\E_Depth_Info\020_Sounding</t>
  </si>
  <si>
    <t>BE021-000</t>
  </si>
  <si>
    <t>Low_Water_Line</t>
  </si>
  <si>
    <t>Delineates an area that covers and uncovers depending on the elevation of the surface above chart datum.</t>
  </si>
  <si>
    <t>B_Hydrography\E_Depth_Info\021_Low_Water_Line</t>
  </si>
  <si>
    <t>BE022-000</t>
  </si>
  <si>
    <t>Sand_Line</t>
  </si>
  <si>
    <t>Delineates an area of sand that covers and uncovers depending on the elevation of the surface above chart datum. (Retired: Consider alternatively using Feature: Foreshore (BA023); note that as a line (not an area) this is a type of Low Water Line).</t>
  </si>
  <si>
    <t>B_Hydrography\E_Depth_Info\022_Sand_Line</t>
  </si>
  <si>
    <t>BE023-000</t>
  </si>
  <si>
    <t>Mud_Line</t>
  </si>
  <si>
    <t>Delineates an area of mud that covers and uncovers depending on the elevation of the surface above chart datum. (Retired; Consider alternatively using Feature: Foreshore (BA023); note that as a line (not an area) this is a type of Low Water Line).</t>
  </si>
  <si>
    <t>B_Hydrography\E_Depth_Info\023_Mud_Line</t>
  </si>
  <si>
    <t>BE029-000</t>
  </si>
  <si>
    <t>Bottom_Return</t>
  </si>
  <si>
    <t>An object identified from the bottom background by side-scan sonar. (Retired; a "return" is not an object; AML will address this with a more appropriate set of features).</t>
  </si>
  <si>
    <t>B_Hydrography\E_Depth_Info\029_Bottom_Return</t>
  </si>
  <si>
    <t>BE030-000</t>
  </si>
  <si>
    <t>Track_Swath</t>
  </si>
  <si>
    <t>Area of horizontal depth coverage recorded by SONAR array systems.</t>
  </si>
  <si>
    <t>B_Hydrography\E_Depth_Info\030_Track_Swath</t>
  </si>
  <si>
    <t>BE040-000</t>
  </si>
  <si>
    <t>Track_Line</t>
  </si>
  <si>
    <t>The actual path or route of a craft over the ground or sea bottom. (Revised)</t>
  </si>
  <si>
    <t>B_Hydrography\E_Depth_Info\040_Track_Line</t>
  </si>
  <si>
    <t>BE050-000</t>
  </si>
  <si>
    <t>Beach_Profile</t>
  </si>
  <si>
    <t>A representation of the three dimensional relief of the bottom along a line or series of connected lines and based on depth contours, soundings, and other measurements of the depth at or below the hydrographic datum.</t>
  </si>
  <si>
    <t>B_Hydrography\E_Depth_Info\050_Beach_Profile</t>
  </si>
  <si>
    <t>Bottom_Feature</t>
  </si>
  <si>
    <t>BF010-000</t>
  </si>
  <si>
    <t>Bottom_Char</t>
  </si>
  <si>
    <t>Designations used on surveys and charts to indicate the consistency, color, and classification of the sea floor, as determined by sampling methods.</t>
  </si>
  <si>
    <t>B_Hydrography\F_Bottom_Feature\010_Bottom_Char</t>
  </si>
  <si>
    <t>BF011-000</t>
  </si>
  <si>
    <t>A significant configuration of underwater bottom topography.</t>
  </si>
  <si>
    <t>B_Hydrography\F_Bottom_Feature\011_Bottom_Feature</t>
  </si>
  <si>
    <t>BF020-000</t>
  </si>
  <si>
    <t>Seabed_Impact_Scour</t>
  </si>
  <si>
    <t>A clearing away of mud or other seabed deposits by the action of an object impacting and/or traversing along the seabed before settling.</t>
  </si>
  <si>
    <t>B_Hydrography\F_Bottom_Feature\020_Seabed_Impact_Scour</t>
  </si>
  <si>
    <t>BG010-000</t>
  </si>
  <si>
    <t>Current_Flow</t>
  </si>
  <si>
    <t>A location at which currents, tides, and/or other types of water movement are specified.`(Revised)</t>
  </si>
  <si>
    <t>B_Hydrography\G_Tide_Current_Info\010_Current_Flow</t>
  </si>
  <si>
    <t>BG011-000</t>
  </si>
  <si>
    <t>Tideway</t>
  </si>
  <si>
    <t>A natural watercourse in intertidal areas where water flows during the ebb and flow.</t>
  </si>
  <si>
    <t>B_Hydrography\G_Tide_Current_Info\011_Tideway</t>
  </si>
  <si>
    <t>BG012-000</t>
  </si>
  <si>
    <t>Water_Turbulence</t>
  </si>
  <si>
    <t>The disturbance of water caused by the interaction of any combination of waves, currents, eddies, tidal streams, wind, shoal patches and obstructions.</t>
  </si>
  <si>
    <t>B_Hydrography\G_Tide_Current_Info\012_Water_Turbulence</t>
  </si>
  <si>
    <t>BG013-000</t>
  </si>
  <si>
    <t>Water_Current_Region</t>
  </si>
  <si>
    <t>A waterbody region in which a water current persists.</t>
  </si>
  <si>
    <t>B_Hydrography\G_Tide_Current_Info\013_Water_Current_Region</t>
  </si>
  <si>
    <t>BG020-000</t>
  </si>
  <si>
    <t>Tide_Gauge</t>
  </si>
  <si>
    <t>An instrument for measuring the height of the tide.</t>
  </si>
  <si>
    <t>B_Hydrography\G_Tide_Current_Info\020_Tide_Gauge</t>
  </si>
  <si>
    <t>BG030-000</t>
  </si>
  <si>
    <t>Tidal_Obs_Station</t>
  </si>
  <si>
    <t>Place for which tabulated tidal stream data are given.</t>
  </si>
  <si>
    <t>B_Hydrography\G_Tide_Current_Info\030_Tidal_Obs_Station</t>
  </si>
  <si>
    <t>BG040-000</t>
  </si>
  <si>
    <t>Tidal_Diagram</t>
  </si>
  <si>
    <t>A graph or chartlet showing the average speed of the flood and ebb currents at different periods of the current cycle. (Supersede by (renamed) Water Movement Data Location (BG010) to emphasize the data-capture location, rather than its presentation).</t>
  </si>
  <si>
    <t>B_Hydrography\G_Tide_Current_Info\040_Tidal_Diagram</t>
  </si>
  <si>
    <t>BH000-000</t>
  </si>
  <si>
    <t>Any known inland waterway body, such as: lake/pond, reservoir, river/stream, etc. requiring separation into individual features due to status/type grouping that is currently indeterminable.</t>
  </si>
  <si>
    <t>B_Hydrography\H_Inland_Water\000_Water</t>
  </si>
  <si>
    <t>BH010-000</t>
  </si>
  <si>
    <t>Aqueduct</t>
  </si>
  <si>
    <t>A pipe or artificial channel designed to transport water from a remote source, usually by gravity. (See also BH110)</t>
  </si>
  <si>
    <t>B_Hydrography\H_Inland_Water\010_Aqueduct</t>
  </si>
  <si>
    <t>BH011-000</t>
  </si>
  <si>
    <t>Intake</t>
  </si>
  <si>
    <t>A place where water is taken into a channel or pipe from a river, or other body of water e.g. to supply an aqueduct or water works.</t>
  </si>
  <si>
    <t>B_Hydrography\H_Inland_Water\011_Intake</t>
  </si>
  <si>
    <t>BH012-000</t>
  </si>
  <si>
    <t>Qanat_Shaft</t>
  </si>
  <si>
    <t>A vertical shaft that provides access to an underground aqueduct and which is part of a qanat system.</t>
  </si>
  <si>
    <t>B_Hydrography\H_Inland_Water\012_Qanat_Shaft</t>
  </si>
  <si>
    <t>BH015-000</t>
  </si>
  <si>
    <t>Bog</t>
  </si>
  <si>
    <t>A poorly drained or periodically flooded area, excluding tidal waters, with soil rich in plant residue.</t>
  </si>
  <si>
    <t>B_Hydrography\H_Inland_Water\015_Bog</t>
  </si>
  <si>
    <t>BH020-000</t>
  </si>
  <si>
    <t>Canal</t>
  </si>
  <si>
    <t>A man-made or improved natural waterway used for transportation.</t>
  </si>
  <si>
    <t>B_Hydrography\H_Inland_Water\020_Canal</t>
  </si>
  <si>
    <t>BH030-000</t>
  </si>
  <si>
    <t>Ditch</t>
  </si>
  <si>
    <t>A channel constructed for the purpose of irrigation or drainage.</t>
  </si>
  <si>
    <t>B_Hydrography\H_Inland_Water\030_Ditch</t>
  </si>
  <si>
    <t>BH040-000</t>
  </si>
  <si>
    <t>Filtration_Bed</t>
  </si>
  <si>
    <t>An area containing layers of material used to filter or aerate water.</t>
  </si>
  <si>
    <t>B_Hydrography\H_Inland_Water\040_Filtration_Bed</t>
  </si>
  <si>
    <t>BH049-000</t>
  </si>
  <si>
    <t>Aquaculture_Facility</t>
  </si>
  <si>
    <t>A facility involved in the culturing or farming (including harvesting) of aquatic organisms (for example: fish, mollusks, crustaceans, plants, crocodiles, alligators or amphibians) using techniques designed to increase the production of the organisms in question beyond the natural capacity of the environment (for example: regular stocking, feeding and protection from predators).</t>
  </si>
  <si>
    <t>B_Hydrography\H_Inland_Water\049_Aquaculture_Facility</t>
  </si>
  <si>
    <t>BH050-000</t>
  </si>
  <si>
    <t>Fish_Farm</t>
  </si>
  <si>
    <t>An enclosure of water used for the breeding and/or rearing of fish.</t>
  </si>
  <si>
    <t>B_Hydrography\H_Inland_Water\050_Fish_Farm</t>
  </si>
  <si>
    <t>BH051-000</t>
  </si>
  <si>
    <t>Fish_Farm_Facility</t>
  </si>
  <si>
    <t>A facility involved in the raising of fish commercially in tanks or landlocked enclosures, usually for food.</t>
  </si>
  <si>
    <t>B_Hydrography\H_Inland_Water\051_Fish_Farm_Facility</t>
  </si>
  <si>
    <t>BH060-000</t>
  </si>
  <si>
    <t>Flume</t>
  </si>
  <si>
    <t>An open, inclined channel which carries water for use in such operations as mining or logging.</t>
  </si>
  <si>
    <t>B_Hydrography\H_Inland_Water\060_Flume</t>
  </si>
  <si>
    <t>BH065-000</t>
  </si>
  <si>
    <t>Water_Race</t>
  </si>
  <si>
    <t>An artificial channel for a current of water, especially one built to provide water for industrial or agricultural purposes or for transporting water-borne materials.</t>
  </si>
  <si>
    <t>B_Hydrography\H_Inland_Water\065_Water_Race</t>
  </si>
  <si>
    <t>BH070-000</t>
  </si>
  <si>
    <t>Ford</t>
  </si>
  <si>
    <t>A shallow place in a body of water used as a crossing. (See also AQ062)</t>
  </si>
  <si>
    <t>B_Hydrography\H_Inland_Water\070_Ford</t>
  </si>
  <si>
    <t>BH075-000</t>
  </si>
  <si>
    <t>Fountain</t>
  </si>
  <si>
    <t>An artificial spring with water.</t>
  </si>
  <si>
    <t>B_Hydrography\H_Inland_Water\075_Fountain</t>
  </si>
  <si>
    <t>BH077-000</t>
  </si>
  <si>
    <t>Hummock</t>
  </si>
  <si>
    <t>An area of higher elevation within a swamp, bog, or marsh.</t>
  </si>
  <si>
    <t>B_Hydrography\H_Inland_Water\077_Hummock</t>
  </si>
  <si>
    <t>BH080-000</t>
  </si>
  <si>
    <t>Lake_or_Pond</t>
  </si>
  <si>
    <t>A large body of water entirely surrounded by land. (Revised) (See also BH130)</t>
  </si>
  <si>
    <t>B_Hydrography\H_Inland_Water\080_Lake_or_Pond</t>
  </si>
  <si>
    <t>BH081-000</t>
  </si>
  <si>
    <t>Pond</t>
  </si>
  <si>
    <t>A small reservoir-like body of generally still water.</t>
  </si>
  <si>
    <t>B_Hydrography\H_Inland_Water\081_Pond</t>
  </si>
  <si>
    <t>BH082-000</t>
  </si>
  <si>
    <t>Inland_Waterbody</t>
  </si>
  <si>
    <t>A body of water that is entirely surrounded by land.</t>
  </si>
  <si>
    <t>B_Hydrography\H_Inland_Water\082_Inland_Waterbody</t>
  </si>
  <si>
    <t>BH090-000</t>
  </si>
  <si>
    <t>Low_Land</t>
  </si>
  <si>
    <t>An area periodically covered by flood water, excluding tidal waters. (See also BH095, ED010, and ED020)</t>
  </si>
  <si>
    <t>B_Hydrography\H_Inland_Water\090_Low_Land</t>
  </si>
  <si>
    <t>BH091-000</t>
  </si>
  <si>
    <t>Flooded_Area</t>
  </si>
  <si>
    <t>Land subject to controlled inundation (i.e. flooded by the regulation of the level of water impounded by a dam or beaver dam), and is normally associated with permanently flooded areas in which trees are still standing. Also known as inundated land.</t>
  </si>
  <si>
    <t>B_Hydrography\H_Inland_Water\091_Flooded_Area</t>
  </si>
  <si>
    <t>BH095-000</t>
  </si>
  <si>
    <t>Marsh_or_Swamp</t>
  </si>
  <si>
    <t>A saturated area, at times covered with water, supporting vegetation which may include trees. (See also BH090, ED010, and ED020)</t>
  </si>
  <si>
    <t>B_Hydrography\H_Inland_Water\095_Marsh_or_Swamp</t>
  </si>
  <si>
    <t>BH100-000</t>
  </si>
  <si>
    <t>Moat</t>
  </si>
  <si>
    <t>A trench usually filled with water, that surrounds a body of land.</t>
  </si>
  <si>
    <t>B_Hydrography\H_Inland_Water\100_Moat</t>
  </si>
  <si>
    <t>BH110-000</t>
  </si>
  <si>
    <t>Penstock</t>
  </si>
  <si>
    <t>A pipeline or channel generally used by hydroelectric plants or water mills to transport water by gravity and under pressure. (See also BH010)</t>
  </si>
  <si>
    <t>B_Hydrography\H_Inland_Water\110_Penstock</t>
  </si>
  <si>
    <t>BH115-000</t>
  </si>
  <si>
    <t>Phreatic_Water</t>
  </si>
  <si>
    <t>Water situated underground but reachable by wells.</t>
  </si>
  <si>
    <t>B_Hydrography\H_Inland_Water\115_Phreatic_Water</t>
  </si>
  <si>
    <t>BH120-000</t>
  </si>
  <si>
    <t>Rapids</t>
  </si>
  <si>
    <t>A place in a stream or river where the current is swift and the surface is usually broken by boulders and rocks.</t>
  </si>
  <si>
    <t>B_Hydrography\H_Inland_Water\120_Rapids</t>
  </si>
  <si>
    <t>BH130-000</t>
  </si>
  <si>
    <t>Reservoir</t>
  </si>
  <si>
    <t>A man-made enclosure or area formed for the storage of water. (See also BH080)</t>
  </si>
  <si>
    <t>B_Hydrography\H_Inland_Water\130_Reservoir</t>
  </si>
  <si>
    <t>BH135-000</t>
  </si>
  <si>
    <t>Rice_Field</t>
  </si>
  <si>
    <t>An area periodically covered with water used for growing rice.</t>
  </si>
  <si>
    <t>B_Hydrography\H_Inland_Water\135_Rice_Field</t>
  </si>
  <si>
    <t>BH140-000</t>
  </si>
  <si>
    <t>River_or_Stream</t>
  </si>
  <si>
    <t>A natural flowing watercourse.</t>
  </si>
  <si>
    <t>B_Hydrography\H_Inland_Water\140_River_or_Stream</t>
  </si>
  <si>
    <t>BH141-000</t>
  </si>
  <si>
    <t>River_Bank</t>
  </si>
  <si>
    <t>The limit line between the water area of a river and the area of land.</t>
  </si>
  <si>
    <t>B_Hydrography\H_Inland_Water\141_River_Bank</t>
  </si>
  <si>
    <t>BH145-000</t>
  </si>
  <si>
    <t>River_Vanishing_Pt</t>
  </si>
  <si>
    <t>Point at which a river or stream passes into the ground.</t>
  </si>
  <si>
    <t>B_Hydrography\H_Inland_Water\145_River_Vanishing_Pt</t>
  </si>
  <si>
    <t>BH150-000</t>
  </si>
  <si>
    <t>Salt_Pan</t>
  </si>
  <si>
    <t>A flat area of natural surface salt deposits.</t>
  </si>
  <si>
    <t>B_Hydrography\H_Inland_Water\150_Salt_Pan</t>
  </si>
  <si>
    <t>BH155-000</t>
  </si>
  <si>
    <t>Salt_Evaporator</t>
  </si>
  <si>
    <t>Shallow pools, normally man-made, used for the natural evaporation of water for the collection of salt.</t>
  </si>
  <si>
    <t>B_Hydrography\H_Inland_Water\155_Salt_Evaporator</t>
  </si>
  <si>
    <t>BH160-000</t>
  </si>
  <si>
    <t>Sebkha</t>
  </si>
  <si>
    <t>A natural depression in arid or semi-arid regions whose bed is covered with salt encrusted clayey soil.</t>
  </si>
  <si>
    <t>B_Hydrography\H_Inland_Water\160_Sebkha</t>
  </si>
  <si>
    <t>BH165-000</t>
  </si>
  <si>
    <t>Spillway</t>
  </si>
  <si>
    <t>A passage for surplus water to run over or around a dam.</t>
  </si>
  <si>
    <t>B_Hydrography\H_Inland_Water\165_Spillway</t>
  </si>
  <si>
    <t>BH170-000</t>
  </si>
  <si>
    <t>Water_Hole</t>
  </si>
  <si>
    <t>A natural outflow of water from below the ground surface. (See also AA050 and BH075)</t>
  </si>
  <si>
    <t>B_Hydrography\H_Inland_Water\170_Water_Hole</t>
  </si>
  <si>
    <t>BH171-000</t>
  </si>
  <si>
    <t>A small natural terrain depression in which water collects, especially a pool where animals come to drink.</t>
  </si>
  <si>
    <t>B_Hydrography\H_Inland_Water\171_Water_Hole</t>
  </si>
  <si>
    <t>BH172-000</t>
  </si>
  <si>
    <t>Spring</t>
  </si>
  <si>
    <t>A flow of water rising or welling naturally from the earth.</t>
  </si>
  <si>
    <t>B_Hydrography\H_Inland_Water\172_Spring</t>
  </si>
  <si>
    <t>BH173-000</t>
  </si>
  <si>
    <t>Resurgence</t>
  </si>
  <si>
    <t>The location at which a watercourse re-emerges from the terrain at the end of an underground part of its course.</t>
  </si>
  <si>
    <t>B_Hydrography\H_Inland_Water\173_Resurgence</t>
  </si>
  <si>
    <t>BH175-000</t>
  </si>
  <si>
    <t>Trough</t>
  </si>
  <si>
    <t>A man-made open water container for animal drinking.</t>
  </si>
  <si>
    <t>B_Hydrography\H_Inland_Water\175_Trough</t>
  </si>
  <si>
    <t>BH180-000</t>
  </si>
  <si>
    <t>Waterfall</t>
  </si>
  <si>
    <t>A vertical or nearly vertical descent of water.</t>
  </si>
  <si>
    <t>B_Hydrography\H_Inland_Water\180_Waterfall</t>
  </si>
  <si>
    <t>BH190-000</t>
  </si>
  <si>
    <t>Lagoon</t>
  </si>
  <si>
    <t>Open body of water separated from the sea by a sand bank or coral reef.</t>
  </si>
  <si>
    <t>B_Hydrography\H_Inland_Water\190_Lagoon</t>
  </si>
  <si>
    <t>BH191-000</t>
  </si>
  <si>
    <t>Channel</t>
  </si>
  <si>
    <t>That part of a body of water, sometimes dredged, deep enough for navigation through an area otherwise not navigable. It is usually marked by a single or double line of navigational aids.</t>
  </si>
  <si>
    <t>B_Hydrography\H_Inland_Water\191_Channel</t>
  </si>
  <si>
    <t>BH192-000</t>
  </si>
  <si>
    <t>Thalweg</t>
  </si>
  <si>
    <t>An imaginary line connecting the points of lowest bed elevation in a river channel.</t>
  </si>
  <si>
    <t>B_Hydrography\H_Inland_Water\192_Thalweg</t>
  </si>
  <si>
    <t>BH200-000</t>
  </si>
  <si>
    <t>Surf_Drainage</t>
  </si>
  <si>
    <t>Surface drainage feature which is of a minor nature and which is not included in other feature codings in this specification. (Retired; Miscellaneous Feature Type (ZD019) may be used as appropriate).</t>
  </si>
  <si>
    <t>B_Hydrography\H_Inland_Water\200_Surf_Drainage</t>
  </si>
  <si>
    <t>BH210-000</t>
  </si>
  <si>
    <t>Inland_Shoreline</t>
  </si>
  <si>
    <t>The land-water boundary for all inland hydrographic features having shorelines, Lake /Pond (BH080), or Island (BA030).</t>
  </si>
  <si>
    <t>B_Hydrography\H_Inland_Water\210_Inland_Shoreline</t>
  </si>
  <si>
    <t>BH220-000</t>
  </si>
  <si>
    <t>Waterwork</t>
  </si>
  <si>
    <t>An establishment for storing, purifying, and supplying an area or town with water.</t>
  </si>
  <si>
    <t>B_Hydrography\H_Inland_Water\220_Waterwork</t>
  </si>
  <si>
    <t>BH230-000</t>
  </si>
  <si>
    <t>Water_Well</t>
  </si>
  <si>
    <t>A shaft sunk into the ground to reach and tap a supply of water.</t>
  </si>
  <si>
    <t>B_Hydrography\H_Inland_Water\230_Water_Well</t>
  </si>
  <si>
    <t>BH240-000</t>
  </si>
  <si>
    <t>Irrigation_System</t>
  </si>
  <si>
    <t>A system for supplying land with water, usually by a network of channels or pipes.</t>
  </si>
  <si>
    <t>B_Hydrography\H_Inland_Water\240_Irrigation_System</t>
  </si>
  <si>
    <t>BH250-000</t>
  </si>
  <si>
    <t>Shallow_Water_Area</t>
  </si>
  <si>
    <t>That part of an inland body of water where the depth is relatively slight (less than 1 metre) and thus likely to limit the passage of watercraft.</t>
  </si>
  <si>
    <t>B_Hydrography\H_Inland_Water\250_Shallow_Water_Area</t>
  </si>
  <si>
    <t>BH501-000</t>
  </si>
  <si>
    <t>River_Nav_Route</t>
  </si>
  <si>
    <t>The route in a river suitable for the largest allowed vessels. (Superseded by more general Maritime Route (FC165); use attribution to distinguish the type of waterbody/route) .(See also FC168)</t>
  </si>
  <si>
    <t>B_Hydrography\H_Inland_Water\501_River_Nav_Route</t>
  </si>
  <si>
    <t>BI005-000</t>
  </si>
  <si>
    <t>Boat_Lift</t>
  </si>
  <si>
    <t>A mechanical device for lifting vessels between two levels other than a lock. (See also BI030)</t>
  </si>
  <si>
    <t>B_Hydrography\I_Misc_Inland_Water\005_Boat_Lift</t>
  </si>
  <si>
    <t>BI006-000</t>
  </si>
  <si>
    <t>Ship_Elevator</t>
  </si>
  <si>
    <t>A device used to raise ships vertically between water bodies with different elevations.</t>
  </si>
  <si>
    <t>B_Hydrography\I_Misc_Inland_Water\006_Ship_Elevator</t>
  </si>
  <si>
    <t>BI010-000</t>
  </si>
  <si>
    <t>Cistern</t>
  </si>
  <si>
    <t>A man-made container used for collection or storage of rain water.</t>
  </si>
  <si>
    <t>B_Hydrography\I_Misc_Inland_Water\010_Cistern</t>
  </si>
  <si>
    <t>BI020-000</t>
  </si>
  <si>
    <t>Dam_or_Weir</t>
  </si>
  <si>
    <t>A permanent barrier across a watercourse used to impound water or to control its flow. (See also BI040)</t>
  </si>
  <si>
    <t>B_Hydrography\I_Misc_Inland_Water\020_Dam_or_Weir</t>
  </si>
  <si>
    <t>BI030-000</t>
  </si>
  <si>
    <t>Lock</t>
  </si>
  <si>
    <t>An enclosure with a pair or series of gates used for raising or lowering vessels as they pass from one water level to another. (See also BI005)</t>
  </si>
  <si>
    <t>B_Hydrography\I_Misc_Inland_Water\030_Lock</t>
  </si>
  <si>
    <t>BI031-000</t>
  </si>
  <si>
    <t>Lock_Basin</t>
  </si>
  <si>
    <t>A wet dock in a waterway permitting a ship to pass from one level to another (IHO S-32) (See also BI030)</t>
  </si>
  <si>
    <t>B_Hydrography\I_Misc_Inland_Water\031_Lock_Basin</t>
  </si>
  <si>
    <t>BI032-000</t>
  </si>
  <si>
    <t>Lock_Gate</t>
  </si>
  <si>
    <t>The pair of massive hinged doors at each end of a lock.</t>
  </si>
  <si>
    <t>B_Hydrography\I_Misc_Inland_Water\032_Lock_Gate</t>
  </si>
  <si>
    <t>BI033-000</t>
  </si>
  <si>
    <t>Lock_Wall</t>
  </si>
  <si>
    <t>One of the pair of walls, usually masonary, that contain a lock basin and support the lock gates.</t>
  </si>
  <si>
    <t>B_Hydrography\I_Misc_Inland_Water\033_Lock_Wall</t>
  </si>
  <si>
    <t>BI039-000</t>
  </si>
  <si>
    <t>Sluice</t>
  </si>
  <si>
    <t>An open, inclined conduit fitted with a gate for regulating water flow and may be employed in mine ore washing operations. (See also BI020 and BI040)</t>
  </si>
  <si>
    <t>B_Hydrography\I_Misc_Inland_Water\039_Sluice</t>
  </si>
  <si>
    <t>BI040-000</t>
  </si>
  <si>
    <t>Sluice_Gate</t>
  </si>
  <si>
    <t>A gate used to regulate the flow of water. (See also BI020 and BI039)</t>
  </si>
  <si>
    <t>B_Hydrography\I_Misc_Inland_Water\040_Sluice_Gate</t>
  </si>
  <si>
    <t>BI041-000</t>
  </si>
  <si>
    <t>A structure that may be swung, drawn, or lowered to block an entrance or passageway.</t>
  </si>
  <si>
    <t>B_Hydrography\I_Misc_Inland_Water\041_Gate</t>
  </si>
  <si>
    <t>BI042-000</t>
  </si>
  <si>
    <t>Caisson</t>
  </si>
  <si>
    <t>The gate at the end of a drydock which excludes the water after pumping out the dock. The pumping engines are often located in the caisson.</t>
  </si>
  <si>
    <t>B_Hydrography\I_Misc_Inland_Water\042_Caisson</t>
  </si>
  <si>
    <t>BI043-000</t>
  </si>
  <si>
    <t>Flood_Barrage</t>
  </si>
  <si>
    <t>An artificial obstruction placed in a water course to increase the depth or to divert it.</t>
  </si>
  <si>
    <t>B_Hydrography\I_Misc_Inland_Water\043_Flood_Barrage</t>
  </si>
  <si>
    <t>BI044-000</t>
  </si>
  <si>
    <t>Flood_Control_Structure</t>
  </si>
  <si>
    <t>An artificial structure or gate that is utilized as a defense against flooding or storm surges.</t>
  </si>
  <si>
    <t>B_Hydrography\I_Misc_Inland_Water\044_Flood_Control_Structure</t>
  </si>
  <si>
    <t>BI045-000</t>
  </si>
  <si>
    <t>Basin_Gate</t>
  </si>
  <si>
    <t>A gate that impounds water within a basin or chamber that is used by watercraft.</t>
  </si>
  <si>
    <t>B_Hydrography\I_Misc_Inland_Water\045_Basin_Gate</t>
  </si>
  <si>
    <t>BI050-000</t>
  </si>
  <si>
    <t>Intake_Tower</t>
  </si>
  <si>
    <t>A tower-like structure associated with a dam or water source and used for the intake of water.</t>
  </si>
  <si>
    <t>B_Hydrography\I_Misc_Inland_Water\050_Intake_Tower</t>
  </si>
  <si>
    <t>BI060-000</t>
  </si>
  <si>
    <t>Fish_Ladder</t>
  </si>
  <si>
    <t>A series of ascending pools constructed to enable fish to swim upstream around or over a dam.</t>
  </si>
  <si>
    <t>B_Hydrography\I_Misc_Inland_Water\060_Fish_Ladder</t>
  </si>
  <si>
    <t>BI070-000</t>
  </si>
  <si>
    <t>Gauging</t>
  </si>
  <si>
    <t>A device which monitors stream flow.</t>
  </si>
  <si>
    <t>B_Hydrography\I_Misc_Inland_Water\070_Gauging</t>
  </si>
  <si>
    <t>BI080-000</t>
  </si>
  <si>
    <t>Boat_Basin</t>
  </si>
  <si>
    <t>A section of canal or navigable waterway in which a barge or other vessel can be turned.</t>
  </si>
  <si>
    <t>B_Hydrography\I_Misc_Inland_Water\080_Boat_Basin</t>
  </si>
  <si>
    <t>BJ020-000</t>
  </si>
  <si>
    <t>Moraine</t>
  </si>
  <si>
    <t>An accumulation of soil and stone debris deposited by a glacier.</t>
  </si>
  <si>
    <t>B_Hydrography\J_Snow_or_Ice\020_Moraine</t>
  </si>
  <si>
    <t>BJ030-000</t>
  </si>
  <si>
    <t>Glacier</t>
  </si>
  <si>
    <t>A large mass of snow and ice moving slowly down a slope or valley from above the snowline.</t>
  </si>
  <si>
    <t>B_Hydrography\J_Snow_or_Ice\030_Glacier</t>
  </si>
  <si>
    <t>BJ031-000</t>
  </si>
  <si>
    <t>Crevasse</t>
  </si>
  <si>
    <t>A deep crack or fissure in a glacier that results from differential movement of ice.</t>
  </si>
  <si>
    <t>B_Hydrography\J_Snow_or_Ice\031_Crevasse</t>
  </si>
  <si>
    <t>BJ040-000</t>
  </si>
  <si>
    <t>Ice_Cliff</t>
  </si>
  <si>
    <t>The vertical face of a glacier or ice shelf.</t>
  </si>
  <si>
    <t>B_Hydrography\J_Snow_or_Ice\040_Ice_Cliff</t>
  </si>
  <si>
    <t>BJ060-000</t>
  </si>
  <si>
    <t>Ice_Peak</t>
  </si>
  <si>
    <t>A rocky peak projecting above a surrounding ice field that may be perpetually covered with ice.</t>
  </si>
  <si>
    <t>B_Hydrography\J_Snow_or_Ice\060_Ice_Peak</t>
  </si>
  <si>
    <t>BJ065-000</t>
  </si>
  <si>
    <t>Ice_Shelf</t>
  </si>
  <si>
    <t>A sheet of thick ice, with level or undulating surface, attached to the land but mostly afloat which is bounded on the seaward side by an Ice Cliff (BJ040).</t>
  </si>
  <si>
    <t>B_Hydrography\J_Snow_or_Ice\065_Ice_Shelf</t>
  </si>
  <si>
    <t>BJ070-000</t>
  </si>
  <si>
    <t>Pack_Ice</t>
  </si>
  <si>
    <t>An area of ice formed by the drifting and crushing together of floating pieces of ice.</t>
  </si>
  <si>
    <t>B_Hydrography\J_Snow_or_Ice\070_Pack_Ice</t>
  </si>
  <si>
    <t>BJ080-000</t>
  </si>
  <si>
    <t>Polar_Ice</t>
  </si>
  <si>
    <t>The heaviest, thickest form of ice over land or water. (See also BJ100)</t>
  </si>
  <si>
    <t>B_Hydrography\J_Snow_or_Ice\080_Polar_Ice</t>
  </si>
  <si>
    <t>BJ099-000</t>
  </si>
  <si>
    <t>Ice_Cap</t>
  </si>
  <si>
    <t>A permanent layer of ice covering a tract of land (especially a polar region) or the top of a mountain.</t>
  </si>
  <si>
    <t>B_Hydrography\J_Snow_or_Ice\099_Ice_Cap</t>
  </si>
  <si>
    <t>BJ100-000</t>
  </si>
  <si>
    <t>Snow_or_Ice_Field</t>
  </si>
  <si>
    <t>A large area permanently covered by snow or ice over land or water. (See also BJ080)</t>
  </si>
  <si>
    <t>B_Hydrography\J_Snow_or_Ice\100_Snow_or_Ice_Field</t>
  </si>
  <si>
    <t>BJ105-000</t>
  </si>
  <si>
    <t>Land_Snow_Ice_Field</t>
  </si>
  <si>
    <t>A large land area permanently covered by snow and/or ice.</t>
  </si>
  <si>
    <t>B_Hydrography\J_Snow_or_Ice\105_Land_Snow_Ice_Field</t>
  </si>
  <si>
    <t>BJ110-000</t>
  </si>
  <si>
    <t>Tundra</t>
  </si>
  <si>
    <t>A prairie-like region in the Arctic and Subarctic zones which sustains a growth of low vegetation.</t>
  </si>
  <si>
    <t>B_Hydrography\J_Snow_or_Ice\110_Tundra</t>
  </si>
  <si>
    <t>BK010-000</t>
  </si>
  <si>
    <t>Acoustic_Station</t>
  </si>
  <si>
    <t>A device equipped for the collection of acoustic data.</t>
  </si>
  <si>
    <t>B_Hydrography\K_Oceanographic\010_Acoustic_Station</t>
  </si>
  <si>
    <t>BK020-000</t>
  </si>
  <si>
    <t>Magnetic_Station</t>
  </si>
  <si>
    <t>A device equipped for the collection of magnetic data.</t>
  </si>
  <si>
    <t>B_Hydrography\K_Oceanographic\020_Magnetic_Station</t>
  </si>
  <si>
    <t>BK030-000</t>
  </si>
  <si>
    <t>Collection_Device</t>
  </si>
  <si>
    <t>A device used for the collection of unspecified hydrographic and oceanographic data.</t>
  </si>
  <si>
    <t>B_Hydrography\K_Oceanographic\030_Collection_Device</t>
  </si>
  <si>
    <t>CA010-000</t>
  </si>
  <si>
    <t>Contour_Line</t>
  </si>
  <si>
    <t>A line connecting points having the same vertical datum value.</t>
  </si>
  <si>
    <t>C_Hypsography\A_Relief\010_Contour_Line</t>
  </si>
  <si>
    <t>CA020-000</t>
  </si>
  <si>
    <t>Ridge_Line</t>
  </si>
  <si>
    <t>A line representation of a ridge top.</t>
  </si>
  <si>
    <t>C_Hypsography\A_Relief\020_Ridge_Line</t>
  </si>
  <si>
    <t>CA025-000</t>
  </si>
  <si>
    <t>Valley_Line</t>
  </si>
  <si>
    <t>A line representation of the lowest part of a valley.</t>
  </si>
  <si>
    <t>C_Hypsography\A_Relief\025_Valley_Line</t>
  </si>
  <si>
    <t>CA026-000</t>
  </si>
  <si>
    <t>Breakline</t>
  </si>
  <si>
    <t>Line representing the demarcation of a sudden and significant change in the gradient of the terrain relief.</t>
  </si>
  <si>
    <t>C_Hypsography\A_Relief\026_Breakline</t>
  </si>
  <si>
    <t>CA030-000</t>
  </si>
  <si>
    <t>Spot_Elevation</t>
  </si>
  <si>
    <t>A designated location with an elevation value relative to a vertical datum.</t>
  </si>
  <si>
    <t>C_Hypsography\A_Relief\030_Spot_Elevation</t>
  </si>
  <si>
    <t>CA035-000</t>
  </si>
  <si>
    <t>Water_Elevation</t>
  </si>
  <si>
    <t>A location with a generalized elevation value relative to a vertical datum associated with an inland, usually confined, water body.</t>
  </si>
  <si>
    <t>C_Hypsography\A_Relief\035_Water_Elevation</t>
  </si>
  <si>
    <t>CA040-000</t>
  </si>
  <si>
    <t>Contour_Polygon</t>
  </si>
  <si>
    <t>An arbitrary area outline created to establish elevation as polygons.</t>
  </si>
  <si>
    <t>C_Hypsography\A_Relief\040_Contour_Polygon</t>
  </si>
  <si>
    <t>CA050-000</t>
  </si>
  <si>
    <t>Surface_Triangle</t>
  </si>
  <si>
    <t>A set of three spot elevations defining a terrain region of constant slope and aspect.</t>
  </si>
  <si>
    <t>C_Hypsography\A_Relief\050_Surface_Triangle</t>
  </si>
  <si>
    <t>Terrain_Constraint_Point</t>
  </si>
  <si>
    <t>C_Hypsography\A_Relief\099_Terrain_Constraint_Point</t>
  </si>
  <si>
    <t>CA099-000</t>
  </si>
  <si>
    <t>A point used to constrain the terrain elevation</t>
  </si>
  <si>
    <t>CA099-001</t>
  </si>
  <si>
    <t>Terrain_Constraint_Line</t>
  </si>
  <si>
    <t>A line consisting of multiple segments whose vertices and edges are used to constrain the terrain elevation</t>
  </si>
  <si>
    <t>CA099-002</t>
  </si>
  <si>
    <t>Terrain_Constraint_Area</t>
  </si>
  <si>
    <t>A multi-triangle convex or concave area whose vertices and edges are used to constrain the terrain elevation</t>
  </si>
  <si>
    <t>DA005-000</t>
  </si>
  <si>
    <t>Asphalt_Lake</t>
  </si>
  <si>
    <t>A natural pool of liquid asphalt.</t>
  </si>
  <si>
    <t>D_Physiography\A_Exposed_Material\005_Asphalt_Lake</t>
  </si>
  <si>
    <t>DA006-000</t>
  </si>
  <si>
    <t>Alkali_Flat</t>
  </si>
  <si>
    <t>A sterile plain containing an excess of alkali usually occurring in the bottom of an under drained basin in an arid or semi-arid region. The ground may be soft and have low shearing and bearing strength, and a high organic content.</t>
  </si>
  <si>
    <t>D_Physiography\A_Exposed_Material\006_Alkali_Flat</t>
  </si>
  <si>
    <t>DA010-000</t>
  </si>
  <si>
    <t>Ground</t>
  </si>
  <si>
    <t>The surface soil characteristics of the earth.</t>
  </si>
  <si>
    <t>D_Physiography\A_Exposed_Material\010_Ground</t>
  </si>
  <si>
    <t>DA020-000</t>
  </si>
  <si>
    <t>Barren</t>
  </si>
  <si>
    <t>Ground so disturbed as to have no identifiable coverage.</t>
  </si>
  <si>
    <t>D_Physiography\A_Exposed_Material\020_Barren</t>
  </si>
  <si>
    <t>DA030-000</t>
  </si>
  <si>
    <t>Land_Area</t>
  </si>
  <si>
    <t>An area not permanently or temporarily covered by water.</t>
  </si>
  <si>
    <t>D_Physiography\A_Exposed_Material\030_Land_Area</t>
  </si>
  <si>
    <t>DA031-000</t>
  </si>
  <si>
    <t>Land_Region</t>
  </si>
  <si>
    <t>An area of natural scenery on land. It is defined by its geographical characteristics and known by its proper name.</t>
  </si>
  <si>
    <t>D_Physiography\A_Exposed_Material\031_Land_Region</t>
  </si>
  <si>
    <t>DB000-000</t>
  </si>
  <si>
    <t>A geographically defined part of the land.</t>
  </si>
  <si>
    <t>D_Physiography\B_Landform\000_Land_Area</t>
  </si>
  <si>
    <t>DB001-000</t>
  </si>
  <si>
    <t>Land_Morphology_Area</t>
  </si>
  <si>
    <t>A region of the land surface that is homogeneous with respect to form.</t>
  </si>
  <si>
    <t>D_Physiography\B_Landform\001_Land_Morphology_Area</t>
  </si>
  <si>
    <t>DB010-000</t>
  </si>
  <si>
    <t>Cliff</t>
  </si>
  <si>
    <t>A steep, vertical, or overhanging face of rock or earth. (See also DB110)</t>
  </si>
  <si>
    <t>?</t>
  </si>
  <si>
    <t>DB030-000</t>
  </si>
  <si>
    <t>Cave</t>
  </si>
  <si>
    <t>A natural subterranean chamber or series of chambers open to the Earth's surface.</t>
  </si>
  <si>
    <t>D_Physiography\B_Landform\030_Cave</t>
  </si>
  <si>
    <t>DB031-000</t>
  </si>
  <si>
    <t>Hill</t>
  </si>
  <si>
    <t>A small, isolated elevation, smaller than a mountain.</t>
  </si>
  <si>
    <t>D_Physiography\B_Landform\031_Hill</t>
  </si>
  <si>
    <t>DB060-000</t>
  </si>
  <si>
    <t>Crevice</t>
  </si>
  <si>
    <t>A narrow fissure, crack, or rift in the Earth's surface, snow or ice. (Supersede by (new) Crevice (DB061) and Crevasse (BJ031); these are different concepts and should not be combined).</t>
  </si>
  <si>
    <t>D_Physiography\B_Landform\060_Crevice</t>
  </si>
  <si>
    <t>DB061-000</t>
  </si>
  <si>
    <t>A narrow opening or fissure produced by a crack in the land, especially in rock.</t>
  </si>
  <si>
    <t>D_Physiography\B_Landform\061_Crevice</t>
  </si>
  <si>
    <t>DB070-000</t>
  </si>
  <si>
    <t>Cut</t>
  </si>
  <si>
    <t>An excavation of the Earth's surface to provide passage for a road, railroad, canal, etc.</t>
  </si>
  <si>
    <t>D_Physiography\B_Landform\070_Cut</t>
  </si>
  <si>
    <t>DB071-000</t>
  </si>
  <si>
    <t>Cut_Line</t>
  </si>
  <si>
    <t>The demarcation line between a cut and the surrounding land surface.</t>
  </si>
  <si>
    <t>D_Physiography\B_Landform\071_Cut_Line</t>
  </si>
  <si>
    <t>DB072-000</t>
  </si>
  <si>
    <t>Cut_Face</t>
  </si>
  <si>
    <t>The face of an excavation within a cut.</t>
  </si>
  <si>
    <t>D_Physiography\B_Landform\072_Cut_Face</t>
  </si>
  <si>
    <t>DB080-000</t>
  </si>
  <si>
    <t>Depression</t>
  </si>
  <si>
    <t>A low area surrounded by higher ground.</t>
  </si>
  <si>
    <t>D_Physiography\B_Landform\080_Depression</t>
  </si>
  <si>
    <t>DB090-000</t>
  </si>
  <si>
    <t>Embankment</t>
  </si>
  <si>
    <t>A raised long mound of earth or other material. (See also BA051)</t>
  </si>
  <si>
    <t>D_Physiography\B_Landform\090_Embankment</t>
  </si>
  <si>
    <t>DB100-000</t>
  </si>
  <si>
    <t>Esker</t>
  </si>
  <si>
    <t>A long, narrow ridge of sand and gravel deposited by a glacial stream.</t>
  </si>
  <si>
    <t>D_Physiography\B_Landform\100_Esker</t>
  </si>
  <si>
    <t>DB110-000</t>
  </si>
  <si>
    <t>Fault</t>
  </si>
  <si>
    <t>A fracture in the Earth's crust with displacement on one side of the fracture relative to the other. (See also DB010)</t>
  </si>
  <si>
    <t>D_Physiography\B_Landform\110_Fault</t>
  </si>
  <si>
    <t>DB115-000</t>
  </si>
  <si>
    <t>Geothermal_Feature</t>
  </si>
  <si>
    <t>A terrain surface feature controlled by or derived from the heat of the Earth's interior.</t>
  </si>
  <si>
    <t>D_Physiography\B_Landform\115_Geothermal_Feature</t>
  </si>
  <si>
    <t>DB145-000</t>
  </si>
  <si>
    <t>Misc_Obstacle</t>
  </si>
  <si>
    <t>Obstacle feature which is of a minor nature and which is not covered by another feature coding in this specification. (Retired; Miscellaneous Feature Type (ZD019) may be used as appropriate).</t>
  </si>
  <si>
    <t>D_Physiography\B_Landform\145_Misc_Obstacle</t>
  </si>
  <si>
    <t>DB150-000</t>
  </si>
  <si>
    <t>Mountain_Pass</t>
  </si>
  <si>
    <t>A natural route through a low place in a mountain range.</t>
  </si>
  <si>
    <t>D_Physiography\B_Landform\150_Mountain_Pass</t>
  </si>
  <si>
    <t>DB160-000</t>
  </si>
  <si>
    <t>Rock_Formation</t>
  </si>
  <si>
    <t>A visual topographic outcrop, layers or beds of rock.</t>
  </si>
  <si>
    <t>D_Physiography\B_Landform\160_Rock_Formation</t>
  </si>
  <si>
    <t>DB161-000</t>
  </si>
  <si>
    <t>Boulder</t>
  </si>
  <si>
    <t>A conspicuous isolated rocky formation or single large stone existing in its entirety above the high water mark. From offshore it would appear to a mariner as a single point on land and would be appropriate for use in navigation.</t>
  </si>
  <si>
    <t>D_Physiography\B_Landform\161_Boulder</t>
  </si>
  <si>
    <t>DB170-000</t>
  </si>
  <si>
    <t>Sand_Dune</t>
  </si>
  <si>
    <t>Ridges or hills of sand.</t>
  </si>
  <si>
    <t>D_Physiography\B_Landform\170_Sand_Dune</t>
  </si>
  <si>
    <t>DB176-000</t>
  </si>
  <si>
    <t>Slope_Category</t>
  </si>
  <si>
    <t>An area enclosing a group of slope values falling within a set range. (Superseded by Slope Polygon (SA050); identical concepts and this one does not appear to be in current use).</t>
  </si>
  <si>
    <t>D_Physiography\B_Landform\176_Slope_Category</t>
  </si>
  <si>
    <t>DB180-000</t>
  </si>
  <si>
    <t>Volcano</t>
  </si>
  <si>
    <t>A mountain or hill, often conical, formed around a vent in the earth's crust through which molten rock, ash, or gases are or have been expelled.</t>
  </si>
  <si>
    <t>D_Physiography\B_Landform\180_Volcano</t>
  </si>
  <si>
    <t>DB181-000</t>
  </si>
  <si>
    <t>Submerged_Volcano</t>
  </si>
  <si>
    <t>An underwater hill or mountain situated over an opening or openings in the Earth's crust through which lava, steam, and/or gases, are or have been expelled.</t>
  </si>
  <si>
    <t>D_Physiography\B_Landform\181_Submerged_Volcano</t>
  </si>
  <si>
    <t>DB185-000</t>
  </si>
  <si>
    <t>Crater</t>
  </si>
  <si>
    <t>A bowl-shaped depression in the terrain, usually round and with steep sides.</t>
  </si>
  <si>
    <t>D_Physiography\B_Landform\185_Crater</t>
  </si>
  <si>
    <t>DB190-000</t>
  </si>
  <si>
    <t>Volcanic_Dike</t>
  </si>
  <si>
    <t>A steep ridge of igneous rock.</t>
  </si>
  <si>
    <t>D_Physiography\B_Landform\190_Volcanic_Dike</t>
  </si>
  <si>
    <t>DB200-000</t>
  </si>
  <si>
    <t>Gully_or_Gorge</t>
  </si>
  <si>
    <t>A long, narrow, deep erosion with steep banks.</t>
  </si>
  <si>
    <t>D_Physiography\B_Landform\200_Gully_or_Gorge</t>
  </si>
  <si>
    <t>DB210-000</t>
  </si>
  <si>
    <t>Landslide_Area</t>
  </si>
  <si>
    <t>A mass of land, with a high potential of slipping down from a mountain, hill, etc.</t>
  </si>
  <si>
    <t>D_Physiography\B_Landform\210_Landslide_Area</t>
  </si>
  <si>
    <t>DB211-000</t>
  </si>
  <si>
    <t>Landslide</t>
  </si>
  <si>
    <t>The mass of earth or rock which has slipped down from a mountain or cliff.</t>
  </si>
  <si>
    <t>D_Physiography\B_Landform\211_Landslide</t>
  </si>
  <si>
    <t>DB220-000</t>
  </si>
  <si>
    <t>Undermined_Land</t>
  </si>
  <si>
    <t>Area undermined through mining activities that has already partly subsided or that is in the process of subsiding.</t>
  </si>
  <si>
    <t>D_Physiography\B_Landform\220_Undermined_Land</t>
  </si>
  <si>
    <t>DB230-000</t>
  </si>
  <si>
    <t>Fan</t>
  </si>
  <si>
    <t>A gently sloping fan shaped feature usually found near the lower termination of a canyon.</t>
  </si>
  <si>
    <t>D_Physiography\B_Landform\230_Fan</t>
  </si>
  <si>
    <t>DB500-000</t>
  </si>
  <si>
    <t>Cliff-Bottomline</t>
  </si>
  <si>
    <t>Bottomline of a steep slope.</t>
  </si>
  <si>
    <t>D_Physiography\B_Landform\500_Cliff-Bottomline</t>
  </si>
  <si>
    <t>DB501-000</t>
  </si>
  <si>
    <t>Cliff-Topline</t>
  </si>
  <si>
    <t>Topline of a steep slope.</t>
  </si>
  <si>
    <t>D_Physiography\B_Landform\501_Cliff-Topline</t>
  </si>
  <si>
    <t>DB534-000</t>
  </si>
  <si>
    <t>Ground_Movement_Area</t>
  </si>
  <si>
    <t>An area affected by vertical and/or horizontal movements of the Earth surface due to geological forces, ground instability and/or a changing stress-state, leading to volume changes within the soil.</t>
  </si>
  <si>
    <t>D_Physiography\B_Landform\534_Ground_Movement_Area</t>
  </si>
  <si>
    <t>DB561-000</t>
  </si>
  <si>
    <t>Volcanic_Appearance</t>
  </si>
  <si>
    <t>An area of the Earth's surface that is affected by volcanic structures and/or activity.</t>
  </si>
  <si>
    <t>D_Physiography\B_Landform\561_Volcanic_Appearance</t>
  </si>
  <si>
    <t>Vegetation</t>
  </si>
  <si>
    <t>Cropland</t>
  </si>
  <si>
    <t>EA010-000</t>
  </si>
  <si>
    <t>An area that has been tilled for the planting of crops. (See also EA040, EA050, and EA055)</t>
  </si>
  <si>
    <t>E_Vegetation\A_Cropland\010_Cropland</t>
  </si>
  <si>
    <t>EA020-000</t>
  </si>
  <si>
    <t>Hedgerow</t>
  </si>
  <si>
    <t>A continuous growth of shrubbery planted as a fence, a boundary, or a wind break.</t>
  </si>
  <si>
    <t>E_Vegetation\A_Cropland\020_Hedgerow</t>
  </si>
  <si>
    <t>EA030-000</t>
  </si>
  <si>
    <t>Nursery</t>
  </si>
  <si>
    <t>A place where shrubs, flowers, plants and trees are grown for transplanting, seed or grafting.</t>
  </si>
  <si>
    <t>E_Vegetation\A_Cropland\030_Nursery</t>
  </si>
  <si>
    <t>EA031-000</t>
  </si>
  <si>
    <t>Botanical_Garden</t>
  </si>
  <si>
    <t>A cultural area where plants and/or trees are displayed.</t>
  </si>
  <si>
    <t>E_Vegetation\A_Cropland\031_Botanical_Garden</t>
  </si>
  <si>
    <t>EA040-000</t>
  </si>
  <si>
    <t>Plantation</t>
  </si>
  <si>
    <t>An area covered by systematic plantings of trees which yield fruits, nuts or other products. (See also EA010, EA050 and EA055)</t>
  </si>
  <si>
    <t>E_Vegetation\A_Cropland\040_Plantation</t>
  </si>
  <si>
    <t>EA050-000</t>
  </si>
  <si>
    <t>Vineyard</t>
  </si>
  <si>
    <t>An area covered by the systematic planting of grape vines. (See also EA010, EA040 and EA055)</t>
  </si>
  <si>
    <t>E_Vegetation\A_Cropland\050_Vineyard</t>
  </si>
  <si>
    <t>EA055-000</t>
  </si>
  <si>
    <t>Hops</t>
  </si>
  <si>
    <t>An area covered by the systematic planting of hop vines. (See also EA010, EA040 and EA050)</t>
  </si>
  <si>
    <t>E_Vegetation\A_Cropland\055_Hops</t>
  </si>
  <si>
    <t>EA537-000</t>
  </si>
  <si>
    <t>Horticultural_Area</t>
  </si>
  <si>
    <t>An area used for the cultivation of vegetables, fruits and/or flowers as well as for the raising of cultivated plants.</t>
  </si>
  <si>
    <t>E_Vegetation\A_Cropland\537_Horticultural_Area</t>
  </si>
  <si>
    <t>EB010-000</t>
  </si>
  <si>
    <t>Grassland</t>
  </si>
  <si>
    <t>An area composed of uncultured plants which have little or no woody tissue.</t>
  </si>
  <si>
    <t>E_Vegetation\B_Rangeland\010_Grassland</t>
  </si>
  <si>
    <t>EB015-000</t>
  </si>
  <si>
    <t>Grass_or_Scrub_or_Brush</t>
  </si>
  <si>
    <t>Area composed of uncultured plants which may have some woody tissue.</t>
  </si>
  <si>
    <t>E_Vegetation\B_Rangeland\015_Grass_or_Scrub_or_Brush</t>
  </si>
  <si>
    <t>EB020-000</t>
  </si>
  <si>
    <t>Scrub_or_Brush_or_Bush</t>
  </si>
  <si>
    <t>Low-growing woody plants. (See also EC030)</t>
  </si>
  <si>
    <t>E_Vegetation\B_Rangeland\020_Scrub_or_Brush_or_Bush</t>
  </si>
  <si>
    <t>EB030-000</t>
  </si>
  <si>
    <t>Land_Cover</t>
  </si>
  <si>
    <t>Thematic classification of the predominant vegetation and land use characteristics of the land surface covers.</t>
  </si>
  <si>
    <t>E_Vegetation\B_Rangeland\030_Land_Cover</t>
  </si>
  <si>
    <t>EB040-000</t>
  </si>
  <si>
    <t>Steppe</t>
  </si>
  <si>
    <t>A vast level grassy usually treeless plain.</t>
  </si>
  <si>
    <t>E_Vegetation\B_Rangeland\040_Steppe</t>
  </si>
  <si>
    <t>EB050-000</t>
  </si>
  <si>
    <t>Savanna</t>
  </si>
  <si>
    <t>An open grassy plain with few or no trees in a tropical or subtropical region.</t>
  </si>
  <si>
    <t>E_Vegetation\B_Rangeland\050_Savanna</t>
  </si>
  <si>
    <t>EB060-000</t>
  </si>
  <si>
    <t>Heathland</t>
  </si>
  <si>
    <t>An area of open uncultivated ground covered by heather and/or related plants, especially on acid sandy or peaty soil.</t>
  </si>
  <si>
    <t>E_Vegetation\B_Rangeland\060_Heathland</t>
  </si>
  <si>
    <t>EB070-000</t>
  </si>
  <si>
    <t>Brush</t>
  </si>
  <si>
    <t>A tract covered mainly by short, uncultured, woody plants.</t>
  </si>
  <si>
    <t>E_Vegetation\B_Rangeland\070_Brush</t>
  </si>
  <si>
    <t>EB080-000</t>
  </si>
  <si>
    <t>Scrubland</t>
  </si>
  <si>
    <t>A tract covered sparsely by low trees, bushes, and/or shrubs that have been stunted by an environmental limitation (for example: low rainfall or nutrient-poor soil).</t>
  </si>
  <si>
    <t>E_Vegetation\B_Rangeland\080_Scrubland</t>
  </si>
  <si>
    <t>EC005</t>
  </si>
  <si>
    <t>E_Vegetation\C_Woodland\005_Tree</t>
  </si>
  <si>
    <t>EC005-000</t>
  </si>
  <si>
    <t>Tree_Generic</t>
  </si>
  <si>
    <t>An individual woody perennial plant, typically having a single stem or trunk growing to a considerable height and bearing lateral branches at some distance from the ground.</t>
  </si>
  <si>
    <t>EC005-011</t>
  </si>
  <si>
    <t>Casuarina</t>
  </si>
  <si>
    <t>A individual tree of kind Casuarina</t>
  </si>
  <si>
    <t>EC005-012</t>
  </si>
  <si>
    <t>Coniferous</t>
  </si>
  <si>
    <t>A individual tree of kind Coniferous</t>
  </si>
  <si>
    <t>EC005-016</t>
  </si>
  <si>
    <t>Nipa_Palm</t>
  </si>
  <si>
    <t>A individual tree of kind Nipa_Palm</t>
  </si>
  <si>
    <t>EC005-017</t>
  </si>
  <si>
    <t>Palm</t>
  </si>
  <si>
    <t>A individual tree of kind Palm</t>
  </si>
  <si>
    <t>EC005-018</t>
  </si>
  <si>
    <t>Filao</t>
  </si>
  <si>
    <t>A individual tree of kind Filao</t>
  </si>
  <si>
    <t>EC005-019</t>
  </si>
  <si>
    <t>Mangrove</t>
  </si>
  <si>
    <t>A individual tree of kind Mangrove</t>
  </si>
  <si>
    <t>EC005-020</t>
  </si>
  <si>
    <t>Grove</t>
  </si>
  <si>
    <t>A individual tree of kind Grove</t>
  </si>
  <si>
    <t>EC005-022</t>
  </si>
  <si>
    <t>Wheat</t>
  </si>
  <si>
    <t>A individual tree of kind Wheat</t>
  </si>
  <si>
    <t>EC005-023</t>
  </si>
  <si>
    <t>Corn</t>
  </si>
  <si>
    <t>A individual tree of kind Corn</t>
  </si>
  <si>
    <t>EC005-024</t>
  </si>
  <si>
    <t>Deciduous</t>
  </si>
  <si>
    <t>A individual tree of kind Deciduous</t>
  </si>
  <si>
    <t>EC005-025</t>
  </si>
  <si>
    <t>Evergreen</t>
  </si>
  <si>
    <t>A individual tree of kind Evergreen</t>
  </si>
  <si>
    <t>EC005-026</t>
  </si>
  <si>
    <t>Cork-Oak</t>
  </si>
  <si>
    <t>A individual tree of kind Cork-Oak</t>
  </si>
  <si>
    <t>EC005-027</t>
  </si>
  <si>
    <t>Fir</t>
  </si>
  <si>
    <t>A individual tree of kind Fir</t>
  </si>
  <si>
    <t>EC005-028</t>
  </si>
  <si>
    <t>Beech</t>
  </si>
  <si>
    <t>A individual tree of kind Beech</t>
  </si>
  <si>
    <t>EC005-029</t>
  </si>
  <si>
    <t>Eucalyptus</t>
  </si>
  <si>
    <t>A individual tree of kind Eucalyptus</t>
  </si>
  <si>
    <t>EC005-030</t>
  </si>
  <si>
    <t>Oak</t>
  </si>
  <si>
    <t>A individual tree of kind Oak</t>
  </si>
  <si>
    <t>EC005-031</t>
  </si>
  <si>
    <t>Pine</t>
  </si>
  <si>
    <t>A individual tree of kind Pine</t>
  </si>
  <si>
    <t>EC005-032</t>
  </si>
  <si>
    <t>Walnut</t>
  </si>
  <si>
    <t>A individual tree of kind Walnut</t>
  </si>
  <si>
    <t>EC005-033</t>
  </si>
  <si>
    <t>Maple</t>
  </si>
  <si>
    <t>A individual tree of kind Maple</t>
  </si>
  <si>
    <t>EC005-034</t>
  </si>
  <si>
    <t>Poplar</t>
  </si>
  <si>
    <t>A individual tree of kind Poplar</t>
  </si>
  <si>
    <t>EC005-035</t>
  </si>
  <si>
    <t>Olive</t>
  </si>
  <si>
    <t>A individual tree of kind Olive</t>
  </si>
  <si>
    <t>EC005-036</t>
  </si>
  <si>
    <t>Chestnut</t>
  </si>
  <si>
    <t>A individual tree of kind Chestnut</t>
  </si>
  <si>
    <t>EC005-037</t>
  </si>
  <si>
    <t>Larch</t>
  </si>
  <si>
    <t>A individual tree of kind Larch</t>
  </si>
  <si>
    <t>EC005-038</t>
  </si>
  <si>
    <t>Cypress</t>
  </si>
  <si>
    <t>A individual tree of kind Cypress</t>
  </si>
  <si>
    <t>EC005-039</t>
  </si>
  <si>
    <t>Peach</t>
  </si>
  <si>
    <t>A individual tree of kind Peach</t>
  </si>
  <si>
    <t>EC005-040</t>
  </si>
  <si>
    <t>Apple</t>
  </si>
  <si>
    <t>A individual tree of kind Apple</t>
  </si>
  <si>
    <t>EC005-041</t>
  </si>
  <si>
    <t>Carob</t>
  </si>
  <si>
    <t>A individual tree of kind Carob</t>
  </si>
  <si>
    <t>EC005-042</t>
  </si>
  <si>
    <t>Almond</t>
  </si>
  <si>
    <t>A individual tree of kind Almond</t>
  </si>
  <si>
    <t>EC005-043</t>
  </si>
  <si>
    <t>Citrus</t>
  </si>
  <si>
    <t>A individual tree of kind Citrus</t>
  </si>
  <si>
    <t>EC005-044</t>
  </si>
  <si>
    <t>Elm</t>
  </si>
  <si>
    <t>A individual tree of kind Elm</t>
  </si>
  <si>
    <t>EC005-045</t>
  </si>
  <si>
    <t>Ilex</t>
  </si>
  <si>
    <t>A individual tree of kind Ilex</t>
  </si>
  <si>
    <t>EC005-046</t>
  </si>
  <si>
    <t>Birch</t>
  </si>
  <si>
    <t>A individual tree of kind Birch</t>
  </si>
  <si>
    <t>EC005-047</t>
  </si>
  <si>
    <t>Ash</t>
  </si>
  <si>
    <t>A individual tree of kind Ash</t>
  </si>
  <si>
    <t>EC005-048</t>
  </si>
  <si>
    <t>Hazel</t>
  </si>
  <si>
    <t>A individual tree of kind Hazel</t>
  </si>
  <si>
    <t>EC005-900</t>
  </si>
  <si>
    <t>Melaleuca</t>
  </si>
  <si>
    <t>A individual tree of kind Melaleuca</t>
  </si>
  <si>
    <t>EC005-901</t>
  </si>
  <si>
    <t>Acacia</t>
  </si>
  <si>
    <t>A individual tree of kind Acacia</t>
  </si>
  <si>
    <t>EC005-902</t>
  </si>
  <si>
    <t>Mulga</t>
  </si>
  <si>
    <t>A individual tree of kind Mulga</t>
  </si>
  <si>
    <t>EC005-903</t>
  </si>
  <si>
    <t>Eucalypt</t>
  </si>
  <si>
    <t>A individual tree of kind Eucalypt</t>
  </si>
  <si>
    <t>EC005-904</t>
  </si>
  <si>
    <t>Gum</t>
  </si>
  <si>
    <t>A individual tree of kind Gum</t>
  </si>
  <si>
    <t>EC005-999</t>
  </si>
  <si>
    <t>A individual tree of kind Other</t>
  </si>
  <si>
    <t>EC007-000</t>
  </si>
  <si>
    <t>Tree_Row</t>
  </si>
  <si>
    <t>A line or row of trees.</t>
  </si>
  <si>
    <t>E_Vegetation\C_Woodland\007_Tree_Row</t>
  </si>
  <si>
    <t>EC010-000</t>
  </si>
  <si>
    <t>Bamboo</t>
  </si>
  <si>
    <t>Woody, treelike grass.</t>
  </si>
  <si>
    <t>E_Vegetation\C_Woodland\010_Bamboo</t>
  </si>
  <si>
    <t>EC015-000</t>
  </si>
  <si>
    <t>Forest</t>
  </si>
  <si>
    <t>An area set aside as a woodland or recreational preserve.</t>
  </si>
  <si>
    <t>E_Vegetation\C_Woodland\015_Forest</t>
  </si>
  <si>
    <t>EC020-000</t>
  </si>
  <si>
    <t>Oasis</t>
  </si>
  <si>
    <t>A small, isolated, fertile or green area in a desert region usually having a spring or well.</t>
  </si>
  <si>
    <t>E_Vegetation\C_Woodland\020_Oasis</t>
  </si>
  <si>
    <t>E_Vegetation\C_Woodland\030_Trees</t>
  </si>
  <si>
    <t>EC030-000</t>
  </si>
  <si>
    <t>Trees_Generic</t>
  </si>
  <si>
    <t>A tract of trees whose canopy is not closed (allows sunlight to reach the ground) and often includes undergrowth. (See also EA040, EB020 and EC015)</t>
  </si>
  <si>
    <t>EC030-009</t>
  </si>
  <si>
    <t>Grassland_With_Trees</t>
  </si>
  <si>
    <t>A tract covered by a non empty set of Grassland_With_trees a treed tract. .</t>
  </si>
  <si>
    <t>EC030-011</t>
  </si>
  <si>
    <t>A tract covered by a non empty set of Casuarina trees; a treed tract. .</t>
  </si>
  <si>
    <t>EC030-012</t>
  </si>
  <si>
    <t>A tract covered by a non empty set of Coniferous trees; a treed tract.</t>
  </si>
  <si>
    <t>EC030-016</t>
  </si>
  <si>
    <t>A tract covered by a non empty set of Nipa_Palm trees; a treed tract.</t>
  </si>
  <si>
    <t>EC030-017</t>
  </si>
  <si>
    <t>A tract covered by a non empty set of Palm trees; a treed tract.</t>
  </si>
  <si>
    <t>EC030-018</t>
  </si>
  <si>
    <t>A tract covered by a non empty set of Filao trees; a treed tract.</t>
  </si>
  <si>
    <t>EC030-019</t>
  </si>
  <si>
    <t>A tract covered by a non empty set of Mangrove trees; a treed tract.</t>
  </si>
  <si>
    <t>EC030-020</t>
  </si>
  <si>
    <t>A tract covered by a non empty set of Grove trees; a treed tract.</t>
  </si>
  <si>
    <t>EC030-022</t>
  </si>
  <si>
    <t>A tract covered by a non empty set of Wheat; a treed tract.</t>
  </si>
  <si>
    <t>EC030-023</t>
  </si>
  <si>
    <t>A tract covered by a non empty set of Corn ; a treed tract.</t>
  </si>
  <si>
    <t>EC030-024</t>
  </si>
  <si>
    <t>A tract covered by a non empty set of Deciduous trees; a treed tract.</t>
  </si>
  <si>
    <t>EC030-025</t>
  </si>
  <si>
    <t>A tract covered by a non empty set of Evergreen trees; a treed tract.</t>
  </si>
  <si>
    <t>EC030-026</t>
  </si>
  <si>
    <t>A tract covered by a non empty set of Cork-Oak trees; a treed tract.</t>
  </si>
  <si>
    <t>EC030-027</t>
  </si>
  <si>
    <t>A tract covered by a non empty set of Fir trees; a treed tract.</t>
  </si>
  <si>
    <t>EC030-028</t>
  </si>
  <si>
    <t>A tract covered by a non empty set of Beech trees; a treed tract.</t>
  </si>
  <si>
    <t>EC030-029</t>
  </si>
  <si>
    <t>A tract covered by a non empty set of Eucalyptus trees; a treed tract.</t>
  </si>
  <si>
    <t>EC030-030</t>
  </si>
  <si>
    <t>A tract covered by a non empty set of Oak trees; a treed tract.</t>
  </si>
  <si>
    <t>EC030-031</t>
  </si>
  <si>
    <t>A tract covered by a non empty set of Pine trees; a treed tract.</t>
  </si>
  <si>
    <t>EC030-032</t>
  </si>
  <si>
    <t>A tract covered by a non empty set of Walnut trees; a treed tract.</t>
  </si>
  <si>
    <t>EC030-033</t>
  </si>
  <si>
    <t>A tract covered by a non empty set of Maple trees; a treed tract.</t>
  </si>
  <si>
    <t>EC030-034</t>
  </si>
  <si>
    <t>A tract covered by a non empty set of Poplar trees; a treed tract.</t>
  </si>
  <si>
    <t>EC030-035</t>
  </si>
  <si>
    <t>A tract covered by a non empty set of Olive trees; a treed tract.</t>
  </si>
  <si>
    <t>EC030-036</t>
  </si>
  <si>
    <t>A tract covered by a non empty set of Chestnut trees; a treed tract.</t>
  </si>
  <si>
    <t>EC030-037</t>
  </si>
  <si>
    <t>A tract covered by a non empty set of Larch trees; a treed tract.</t>
  </si>
  <si>
    <t>EC030-038</t>
  </si>
  <si>
    <t>A tract covered by a non empty set of Cypress trees; a treed tract.</t>
  </si>
  <si>
    <t>EC030-039</t>
  </si>
  <si>
    <t>A tract covered by a non empty set of Peach trees; a treed tract.</t>
  </si>
  <si>
    <t>EC030-040</t>
  </si>
  <si>
    <t>A tract covered by a non empty set of Apple trees; a treed tract.</t>
  </si>
  <si>
    <t>EC030-041</t>
  </si>
  <si>
    <t>A tract covered by a non empty set of Carob trees; a treed tract.</t>
  </si>
  <si>
    <t>EC030-042</t>
  </si>
  <si>
    <t>A tract covered by a non empty set of Almond trees; a treed tract.</t>
  </si>
  <si>
    <t>EC030-043</t>
  </si>
  <si>
    <t>A tract covered by a non empty set of Citrus trees; a treed tract.</t>
  </si>
  <si>
    <t>EC030-044</t>
  </si>
  <si>
    <t>A tract covered by a non empty set of Elm trees; a treed tract.</t>
  </si>
  <si>
    <t>EC030-045</t>
  </si>
  <si>
    <t>A tract covered by a non empty set of Ilex trees; a treed tract.</t>
  </si>
  <si>
    <t>EC030-046</t>
  </si>
  <si>
    <t>A tract covered by a non empty set of Birch trees; a treed tract.</t>
  </si>
  <si>
    <t>EC030-047</t>
  </si>
  <si>
    <t>A tract covered by a non empty set of Ash trees; a treed tract.</t>
  </si>
  <si>
    <t>EC030-048</t>
  </si>
  <si>
    <t>A tract covered by a non empty set of Hazel trees; a treed tract.</t>
  </si>
  <si>
    <t>EC030-049</t>
  </si>
  <si>
    <t>Mixed_Deciduous</t>
  </si>
  <si>
    <t>A tract covered by a non empty set of Mixed_Deciduous trees; a treed tract.</t>
  </si>
  <si>
    <t>EC030-050</t>
  </si>
  <si>
    <t>Mixed_Tree</t>
  </si>
  <si>
    <t>A tract covered by a non empty set of Mixed_Tree trees; a treed tract.</t>
  </si>
  <si>
    <t>EC030-900</t>
  </si>
  <si>
    <t>A tract covered by a non empty set of Melaleuca trees; a treed tract.</t>
  </si>
  <si>
    <t>EC030-901</t>
  </si>
  <si>
    <t>A tract covered by a non empty set of Acacia trees; a treed tract.</t>
  </si>
  <si>
    <t>EC030-902</t>
  </si>
  <si>
    <t>A tract covered by a non empty set of Mulga trees; a treed tract.</t>
  </si>
  <si>
    <t>EC030-903</t>
  </si>
  <si>
    <t>A tract covered by a non empty set of Eucaplypt trees; a treed tract.</t>
  </si>
  <si>
    <t>EC030-904</t>
  </si>
  <si>
    <t>A tract covered by a non empty set of Gum trees; a treed tract.</t>
  </si>
  <si>
    <t>EC030-999</t>
  </si>
  <si>
    <t>A tract covered by a non empty set of Other type trees; a treed tract. .</t>
  </si>
  <si>
    <t>EC040-000</t>
  </si>
  <si>
    <t>Cleared_Way</t>
  </si>
  <si>
    <t>A man-made clearing in a cultural area or through a stand of trees, designed to provide access for a road, railroad, pipeline, or power transmission line, or for boundary demarcation, survey line-of-sight, or to impede the progress of forest fires.</t>
  </si>
  <si>
    <t>E_Vegetation\C_Woodland\040_Cleared_Way</t>
  </si>
  <si>
    <t>EC050-000</t>
  </si>
  <si>
    <t>A small wood or similar collection of trees growing closely together.</t>
  </si>
  <si>
    <t>E_Vegetation\C_Woodland\050_Grove</t>
  </si>
  <si>
    <t>EC060-000</t>
  </si>
  <si>
    <t>Forest_Clearing</t>
  </si>
  <si>
    <t>A site in a forest or wood(s) that has been cleared, often for slash and burn agriculture and/or as a result of clear-cutting logging.</t>
  </si>
  <si>
    <t>E_Vegetation\C_Woodland\060_Forest_Clearing</t>
  </si>
  <si>
    <t>EC070-000</t>
  </si>
  <si>
    <t>Rainforest</t>
  </si>
  <si>
    <t>A dense forest in an area of high rainfall with little seasonal variation, and whose canopy is usually closed (allowing only filtered sunlight to reach the ground).</t>
  </si>
  <si>
    <t>E_Vegetation\C_Woodland\070_Rainforest</t>
  </si>
  <si>
    <t>Wetland</t>
  </si>
  <si>
    <t>ED010-000</t>
  </si>
  <si>
    <t>Marsh</t>
  </si>
  <si>
    <t>An area of wet, often spongy ground that is subject to frequent or tidal inundations, but not considered to be continually under water. It is characterized by the growth of non woody plants and by the lack of trees. (Nautical Chart Manual, US National Oceanic and Atmospheric Administration - NOAA, 1992) (See also BH090, BH095, and ED020)</t>
  </si>
  <si>
    <t>E_Vegetation\D_Wetland\010_Marsh</t>
  </si>
  <si>
    <t>ED020-000</t>
  </si>
  <si>
    <t>Swamp</t>
  </si>
  <si>
    <t>A low lying saturated area covered with water all or most of the year, where accumulating dead vegetation does not rapidly decay. It can exist on flat-lying areas created by certain geomorphic environments. The vegetation mainly consists of hydrophytic trees and/or scrubs whose roots are adapted to wet conditions, with an open to very dense canopy closure. (See also BH090, BH095, and ED010)</t>
  </si>
  <si>
    <t>E_Vegetation\D_Wetland\020_Swamp</t>
  </si>
  <si>
    <t>ED030-000</t>
  </si>
  <si>
    <t>Mangrove_Swamp</t>
  </si>
  <si>
    <t>A dense thicket of mangrove that is subject to tidal inundation and forming a muddy swamp.</t>
  </si>
  <si>
    <t>E_Vegetation\D_Wetland\030_Mangrove_Swamp</t>
  </si>
  <si>
    <t>ED040-000</t>
  </si>
  <si>
    <t>Taiga</t>
  </si>
  <si>
    <t>A swampy coniferous forest of high northern latitudes, especially that between the tundra and steppes of Siberia.</t>
  </si>
  <si>
    <t>E_Vegetation\D_Wetland\040_Taiga</t>
  </si>
  <si>
    <t>E_Vegetation\E_Misc_Feature\000_Misc_Vegetation</t>
  </si>
  <si>
    <t>EE000-000</t>
  </si>
  <si>
    <t>Vegetation_Generic</t>
  </si>
  <si>
    <t>A TRACT covered by a mixture of woody and non-woody PLANTs; a mixed vegetation land.</t>
  </si>
  <si>
    <t>EE000-006</t>
  </si>
  <si>
    <t>Cranberry</t>
  </si>
  <si>
    <t>A TRACT primarily covered by cranberry.</t>
  </si>
  <si>
    <t>EE000-007</t>
  </si>
  <si>
    <t>Peat</t>
  </si>
  <si>
    <t>A TRACT primarily covered by compacted deposit of partially decomposed organic debris, usually saturated with water.</t>
  </si>
  <si>
    <t>EE000-051</t>
  </si>
  <si>
    <t>Herb_or_Shrub</t>
  </si>
  <si>
    <t>A low growing, multi-stemmed woody PLANT; a shrub [AHD, "shrub"].</t>
  </si>
  <si>
    <t>EE000-058</t>
  </si>
  <si>
    <t>Reed</t>
  </si>
  <si>
    <t>A TRACT primarily covered by tall slender plants with jointed stalks that grows in marshes and other wet areas.</t>
  </si>
  <si>
    <t>EE000-059</t>
  </si>
  <si>
    <t>Moss</t>
  </si>
  <si>
    <t>A PLANT of the class Musci, comprising small bryophtes with scale-like leaves usually spirally arranged, with a spore-capsule usually opening by a lid, which grow in crowded masses in BOGs or on SURFACEs; or any of certain ALGAs, LICHENs, PTERIDOPHYTEs, or flowering PLANTs resembling moss in habit; moss [SOED, "moss", II 3] or a moss-like plant.</t>
  </si>
  <si>
    <t>EE000-060</t>
  </si>
  <si>
    <t>Kelp</t>
  </si>
  <si>
    <t>A WATERBODY_FLOOR_REGION covered with a significant concentration of kelp; a kelp bed.</t>
  </si>
  <si>
    <t>EE000-061</t>
  </si>
  <si>
    <t>Sea_Weed</t>
  </si>
  <si>
    <t>A REGION of large green, brown, or dark red VEGETATION (for example: kelp and/or seaweed) growing in a salt WATER, typically cold, environment.</t>
  </si>
  <si>
    <t>EE000-062</t>
  </si>
  <si>
    <t>Sea_Grass</t>
  </si>
  <si>
    <t>A REGION of an underwater ocean grass with long thick blades that is harvested and processed into a material, similar to twine or jute, used for making baskets and matting</t>
  </si>
  <si>
    <t>EE000-063</t>
  </si>
  <si>
    <t>Saragasso</t>
  </si>
  <si>
    <t>A REGION of a brown seaweed with berry-like air bladders, typically floating in large masses.</t>
  </si>
  <si>
    <t>EE000-999</t>
  </si>
  <si>
    <t>A REGION with vegetation other than those listed above</t>
  </si>
  <si>
    <t>EE010-000</t>
  </si>
  <si>
    <t>Logging_Area</t>
  </si>
  <si>
    <t>An area of forest or vegetation being exploited for lumber resources.</t>
  </si>
  <si>
    <t>E_Vegetation\E_Misc_Feature\010_Logging_Area</t>
  </si>
  <si>
    <t>EE020-000</t>
  </si>
  <si>
    <t>No_Vegetation</t>
  </si>
  <si>
    <t>Ground or land with little (less than 5 percent) or no vegetation.</t>
  </si>
  <si>
    <t>E_Vegetation\E_Misc_Feature\020_No_Vegetation</t>
  </si>
  <si>
    <t>EE030-000</t>
  </si>
  <si>
    <t>Desert</t>
  </si>
  <si>
    <t>An arid and treeless uncultivated sparsely populated tract of land.</t>
  </si>
  <si>
    <t>E_Vegetation\E_Misc_Feature\030_Desert</t>
  </si>
  <si>
    <t>EE050-000</t>
  </si>
  <si>
    <t>Garden</t>
  </si>
  <si>
    <t>A piece of ground (often enclosed) where fruits, flowers, herbs, or vegetables are cultivated.</t>
  </si>
  <si>
    <t>E_Vegetation\E_Misc_Feature\050_Garden</t>
  </si>
  <si>
    <t>EE060-000</t>
  </si>
  <si>
    <t>Bank_Vegetation_Zone</t>
  </si>
  <si>
    <t>A region along the edge of a body of water or watercourse generally dominated by riparian vegetation.</t>
  </si>
  <si>
    <t>E_Vegetation\E_Misc_Feature\060_Bank_Vegetation_Zone</t>
  </si>
  <si>
    <t>EE100-000</t>
  </si>
  <si>
    <t>Economic_Reserve</t>
  </si>
  <si>
    <t>A tract of public land reserved for future use and/or restricted as to present use.</t>
  </si>
  <si>
    <t>E_Vegetation\E_Misc_Feature\100_Economic_Reserve</t>
  </si>
  <si>
    <t>FA000-000</t>
  </si>
  <si>
    <t>Boundary-Admin</t>
  </si>
  <si>
    <t>A line of demarcation between controlled areas.</t>
  </si>
  <si>
    <t>F_Demarcation\A_Topo\000_Boundary-Admin</t>
  </si>
  <si>
    <t>FA001-000</t>
  </si>
  <si>
    <t>Area-Admin</t>
  </si>
  <si>
    <t>An area controlled by administrative authority.</t>
  </si>
  <si>
    <t>F_Demarcation\A_Topo\001_Area-Admin</t>
  </si>
  <si>
    <t>FA002-000</t>
  </si>
  <si>
    <t>Geopolitical_Entity</t>
  </si>
  <si>
    <t>A region controlled by a political community having an organized government and possessing internal and external sovereignity, most often as a State but sometimes having a dependent relationship on another political authority or a special sovereignity status.</t>
  </si>
  <si>
    <t>F_Demarcation\A_Topo\002_Geopolitical_Entity</t>
  </si>
  <si>
    <t>FA003-000</t>
  </si>
  <si>
    <t>Administrative_Division</t>
  </si>
  <si>
    <t>A subordinate administrative division (for example: a (US) state, a (UK) county, a (US) township, a (CA) province, a (FR) arrondissement, a (CH) canton, a (GE) laender and a (FR) commune) of a geopolitical entity (for example: a State).</t>
  </si>
  <si>
    <t>F_Demarcation\A_Topo\003_Administrative_Division</t>
  </si>
  <si>
    <t>FA005-000</t>
  </si>
  <si>
    <t>Access_Zone</t>
  </si>
  <si>
    <t>A zone between a contact zone and the first possible clearing line (road, towing path, passable road bank crest). (See also FA041)</t>
  </si>
  <si>
    <t>F_Demarcation\A_Topo\005_Access_Zone</t>
  </si>
  <si>
    <t>FA006-000</t>
  </si>
  <si>
    <t>Sovereign_State</t>
  </si>
  <si>
    <t>A region where a community (people) has the full sovereignty about a national territory.</t>
  </si>
  <si>
    <t>F_Demarcation\A_Topo\006_Sovereign_State</t>
  </si>
  <si>
    <t>FA007-000</t>
  </si>
  <si>
    <t>Territory_Special_Status</t>
  </si>
  <si>
    <t>A territory, which is not an independent sovereign State nor a regular part of a sovereign State.</t>
  </si>
  <si>
    <t>F_Demarcation\A_Topo\007_Territory_Special_Status</t>
  </si>
  <si>
    <t>FA012-000</t>
  </si>
  <si>
    <t>Contaminated_Region</t>
  </si>
  <si>
    <t>A region whose prevailing natural conditions have been degraded through contamination by harmful or objectionable substances.</t>
  </si>
  <si>
    <t>F_Demarcation\A_Topo\012_Contaminated_Region</t>
  </si>
  <si>
    <t>FA015-000</t>
  </si>
  <si>
    <t>An open area designated for the purpose of discharging or detonating firearms.</t>
  </si>
  <si>
    <t>F_Demarcation\A_Topo\015_Firing_Range</t>
  </si>
  <si>
    <t>FA020-000</t>
  </si>
  <si>
    <t>Armistice_Line</t>
  </si>
  <si>
    <t>A line established by opposing political groups as a result of cessation of hostilities.</t>
  </si>
  <si>
    <t>F_Demarcation\A_Topo\020_Armistice_Line</t>
  </si>
  <si>
    <t>FA030-000</t>
  </si>
  <si>
    <t>Cease-Fire_Line</t>
  </si>
  <si>
    <t>A line along which active hostilities are suspended.</t>
  </si>
  <si>
    <t>F_Demarcation\A_Topo\030_Cease-Fire_Line</t>
  </si>
  <si>
    <t>FA040-000</t>
  </si>
  <si>
    <t>Claim_Line</t>
  </si>
  <si>
    <t>A limit of an area which is unilaterally claimed by one political group without consent or negotiation with another.</t>
  </si>
  <si>
    <t>F_Demarcation\A_Topo\040_Claim_Line</t>
  </si>
  <si>
    <t>FA041-000</t>
  </si>
  <si>
    <t>Contact_Zone</t>
  </si>
  <si>
    <t>Terrain area 3 metres wide limited on the water side by the contact between land and water (under average level of water condition). (See also FA005)</t>
  </si>
  <si>
    <t>F_Demarcation\A_Topo\041_Contact_Zone</t>
  </si>
  <si>
    <t>FA045-000</t>
  </si>
  <si>
    <t>Contact_Zone_Stanag2256</t>
  </si>
  <si>
    <t>A terrain strip extending from 2 metres below to 6 metres inland of the Mean Water Line.</t>
  </si>
  <si>
    <t>F_Demarcation\A_Topo\045_Contact_Zone_Stanag2256</t>
  </si>
  <si>
    <t>FA050-000</t>
  </si>
  <si>
    <t>Mandate_Line</t>
  </si>
  <si>
    <t>A line established to regulate matters between nations or groups over a specific area or territory.</t>
  </si>
  <si>
    <t>F_Demarcation\A_Topo\050_Mandate_Line</t>
  </si>
  <si>
    <t>FA060-000</t>
  </si>
  <si>
    <t>Boundary-Defacto</t>
  </si>
  <si>
    <t>An existing line of separation not officially recognized by various governments.</t>
  </si>
  <si>
    <t>F_Demarcation\A_Topo\060_Boundary-Defacto</t>
  </si>
  <si>
    <t>FA070-000</t>
  </si>
  <si>
    <t>Demilitarized_Zone</t>
  </si>
  <si>
    <t>An area where military activity is prohibited.</t>
  </si>
  <si>
    <t>F_Demarcation\A_Topo\070_Demilitarized_Zone</t>
  </si>
  <si>
    <t>FA080-000</t>
  </si>
  <si>
    <t>National_Park</t>
  </si>
  <si>
    <t>Extensive area of a particular nature, that has been defined by law and that is to be protected as a whole. It meets the prerequisites of a nature reserve for the largest part and has been influenced by man at most only to a small extent .</t>
  </si>
  <si>
    <t>F_Demarcation\A_Topo\080_National_Park</t>
  </si>
  <si>
    <t>FA081-000</t>
  </si>
  <si>
    <t>Nature_Reserve</t>
  </si>
  <si>
    <t>An area that has been legally defined and whose nature and landscape requires special protection, be it in part or as a whole, in order to preserve symbioses or biotypes of specific wildlife animals or plants, for scientific reasons or reasons of natural or geographic history, or because of their rareness, uniqueness or outstanding beauty.</t>
  </si>
  <si>
    <t>F_Demarcation\A_Topo\081_Nature_Reserve</t>
  </si>
  <si>
    <t>FA082-000</t>
  </si>
  <si>
    <t>Protected_Water</t>
  </si>
  <si>
    <t>Protected area of water collection facilities with restricted use in order to protect the water above and under ground from being polluted.</t>
  </si>
  <si>
    <t>F_Demarcation\A_Topo\082_Protected_Water</t>
  </si>
  <si>
    <t>FA090-000</t>
  </si>
  <si>
    <t>Prospecting_Grid</t>
  </si>
  <si>
    <t>A grid established for the collection of geophysical data within an area.</t>
  </si>
  <si>
    <t>F_Demarcation\A_Topo\090_Prospecting_Grid</t>
  </si>
  <si>
    <t>FA091-000</t>
  </si>
  <si>
    <t>Geophysical_Data_Track_Line</t>
  </si>
  <si>
    <t>A track along which a series of geophysical data observations are distributed.</t>
  </si>
  <si>
    <t>F_Demarcation\A_Topo\091_Geophysical_Data_Track_Line</t>
  </si>
  <si>
    <t>FA100-000</t>
  </si>
  <si>
    <t>Test_Area</t>
  </si>
  <si>
    <t>Area for the testing of technical products.</t>
  </si>
  <si>
    <t>F_Demarcation\A_Topo\100_Test_Area</t>
  </si>
  <si>
    <t>FA110-000</t>
  </si>
  <si>
    <t>Date_Line</t>
  </si>
  <si>
    <t>A line generally coinciding with the 180th meridian, modified to avoid land, and designated as the place where each calendar day begins.</t>
  </si>
  <si>
    <t>F_Demarcation\A_Topo\110_Date_Line</t>
  </si>
  <si>
    <t>FA120-000</t>
  </si>
  <si>
    <t>Boundary</t>
  </si>
  <si>
    <t>A line separating two geographic areas from each other.</t>
  </si>
  <si>
    <t>F_Demarcation\A_Topo\120_Boundary</t>
  </si>
  <si>
    <t>FA165-000</t>
  </si>
  <si>
    <t>Training_Area</t>
  </si>
  <si>
    <t>An area reserved for training.</t>
  </si>
  <si>
    <t>F_Demarcation\A_Topo\165_Training_Area</t>
  </si>
  <si>
    <t>FA170-000</t>
  </si>
  <si>
    <t>Zone_of_Occupation</t>
  </si>
  <si>
    <t>An area temporarily held and controlled by a foreign military force.</t>
  </si>
  <si>
    <t>F_Demarcation\A_Topo\170_Zone_of_Occupation</t>
  </si>
  <si>
    <t>FA210-000</t>
  </si>
  <si>
    <t>Conservation_Area</t>
  </si>
  <si>
    <t>An area of land and/or sea especially dedicated to the protection and maintenance of biological diversity, and of natural and associated cultural resources, and managed through legal or other effective means.</t>
  </si>
  <si>
    <t>F_Demarcation\A_Topo\210_Conservation_Area</t>
  </si>
  <si>
    <t>FA517-000</t>
  </si>
  <si>
    <t>Military_Administrative_Unit</t>
  </si>
  <si>
    <t>An area which is the responsibility of territorial commands.</t>
  </si>
  <si>
    <t>F_Demarcation\A_Topo\517_Military_Administrative_Unit</t>
  </si>
  <si>
    <t>FA574-000</t>
  </si>
  <si>
    <t>Noise_Control_Area</t>
  </si>
  <si>
    <t>An area surrounding commercial airports with scheduled air services and/or military airfields earmarked for the operation of aircraft with jet engines, where building restrictions may be enforced in order to protect the public from dangers, major disadvantages and major irritation due to aircraft noise.</t>
  </si>
  <si>
    <t>F_Demarcation\A_Topo\574_Noise_Control_Area</t>
  </si>
  <si>
    <t>FC021-000</t>
  </si>
  <si>
    <t>Maritime_Boundary</t>
  </si>
  <si>
    <t>A line where on either side certain activities or factors of significance to navigation and/or operation apply.</t>
  </si>
  <si>
    <t>F_Demarcation\C_Hydro\021_Maritime_Boundary</t>
  </si>
  <si>
    <t>FC031-000</t>
  </si>
  <si>
    <t>Maritime_Area</t>
  </si>
  <si>
    <t>An area in which certain activities or factors of significance to navigation and/or operation apply.</t>
  </si>
  <si>
    <t>F_Demarcation\C_Hydro\031_Maritime_Area</t>
  </si>
  <si>
    <t>FC033-000</t>
  </si>
  <si>
    <t>Dumping_Ground</t>
  </si>
  <si>
    <t>A sea area where dredged material or other potentially more harmful material (for example: explosives or chemical waste) is deliberately deposited.</t>
  </si>
  <si>
    <t>F_Demarcation\C_Hydro\033_Dumping_Ground</t>
  </si>
  <si>
    <t>FC034-000</t>
  </si>
  <si>
    <t>Dredged_Area</t>
  </si>
  <si>
    <t>An area of the bottom of a body of water (for example: a channel) which has been deepened by dredging.</t>
  </si>
  <si>
    <t>F_Demarcation\C_Hydro\034_Dredged_Area</t>
  </si>
  <si>
    <t>FC035-000</t>
  </si>
  <si>
    <t>A structure separating the basins of a fish pond, a reservoir or a liquid waste pond.</t>
  </si>
  <si>
    <t>F_Demarcation\C_Hydro\035_Pond</t>
  </si>
  <si>
    <t>FC036-000</t>
  </si>
  <si>
    <t>Restricted_Area</t>
  </si>
  <si>
    <t>An area in which certain aspects of navigation are restricted.</t>
  </si>
  <si>
    <t>F_Demarcation\C_Hydro\036_Restricted_Area</t>
  </si>
  <si>
    <t>FC037-000</t>
  </si>
  <si>
    <t>Caution_Area</t>
  </si>
  <si>
    <t>Generally, an area where the mariner has to be made aware of circumstances influencing the safety of navigation.</t>
  </si>
  <si>
    <t>F_Demarcation\C_Hydro\037_Caution_Area</t>
  </si>
  <si>
    <t>FC038-000</t>
  </si>
  <si>
    <t>Diving_Location</t>
  </si>
  <si>
    <t>A location where civilian diving activities take place.</t>
  </si>
  <si>
    <t>F_Demarcation\C_Hydro\038_Diving_Location</t>
  </si>
  <si>
    <t>FC040-000</t>
  </si>
  <si>
    <t>TSS_System</t>
  </si>
  <si>
    <t>Complex feature with possible components made of many simple features and complex features BC099, BC098 and FC166. (Superseded by Traffic Separation Scheme (FC041); complex features no longer needed.</t>
  </si>
  <si>
    <t>F_Demarcation\C_Hydro\040_TSS_System</t>
  </si>
  <si>
    <t>FC041-000</t>
  </si>
  <si>
    <t>TSS</t>
  </si>
  <si>
    <t>A maritime routing measure that separates opposing streams of traffic by appropriate means.</t>
  </si>
  <si>
    <t>F_Demarcation\C_Hydro\041_TSS</t>
  </si>
  <si>
    <t>FC042-000</t>
  </si>
  <si>
    <t>Inshore_Traffic_Zone</t>
  </si>
  <si>
    <t>A routeing measure comprising a designated area between the landward boundary of a traffic separation scheme and the adjacent coast, to be used in accordance with the provisions of the International Regulations for Preventing Collisions at Sea.</t>
  </si>
  <si>
    <t>F_Demarcation\C_Hydro\042_Inshore_Traffic_Zone</t>
  </si>
  <si>
    <t>FC045-000</t>
  </si>
  <si>
    <t>Unsurveyed_Area</t>
  </si>
  <si>
    <t>A region for which no bathymetric survey information is available.</t>
  </si>
  <si>
    <t>F_Demarcation\C_Hydro\045_Unsurveyed_Area</t>
  </si>
  <si>
    <t>FC046-000</t>
  </si>
  <si>
    <t>Waterbody_Area</t>
  </si>
  <si>
    <t>A geographically defined part of a waterbody (for example: the sea or other navigable waters).</t>
  </si>
  <si>
    <t>F_Demarcation\C_Hydro\046_Waterbody_Area</t>
  </si>
  <si>
    <t>FC047-000</t>
  </si>
  <si>
    <t>Waterbody_Morphology_Area</t>
  </si>
  <si>
    <t>A region of a waterbody, either surface or subsurface, that is homogeneous with respect to form.</t>
  </si>
  <si>
    <t>F_Demarcation\C_Hydro\047_Waterbody_Morphology_Area</t>
  </si>
  <si>
    <t>FC050-000</t>
  </si>
  <si>
    <t>Naval_Firing_Practice_Area</t>
  </si>
  <si>
    <t>An area where Naval forces (for example: vessels or aircraft) conduct firing and/or munition exercises.</t>
  </si>
  <si>
    <t>F_Demarcation\C_Hydro\050_Naval_Firing_Practice_Area</t>
  </si>
  <si>
    <t>FC055-000</t>
  </si>
  <si>
    <t>Naval_Operations_Area</t>
  </si>
  <si>
    <t>An area where Naval forces conduct operations.</t>
  </si>
  <si>
    <t>F_Demarcation\C_Hydro\055_Naval_Operations_Area</t>
  </si>
  <si>
    <t>FC100-000</t>
  </si>
  <si>
    <t>Measured_Dist_Line</t>
  </si>
  <si>
    <t>A course whose length has been accurately measured and is used in conjunction with ranges ashore. It is used by vessels to calibrate logs, engine revolution counters, etc., and determine speed.</t>
  </si>
  <si>
    <t>F_Demarcation\C_Hydro\100_Measured_Dist_Line</t>
  </si>
  <si>
    <t>FC101-000</t>
  </si>
  <si>
    <t>Theodolite_Line</t>
  </si>
  <si>
    <t>Lines of known bearing from fixed geographic locations. Used to determine accurate positions of a vessel on certain test ranges.</t>
  </si>
  <si>
    <t>F_Demarcation\C_Hydro\101_Theodolite_Line</t>
  </si>
  <si>
    <t>FC102-000</t>
  </si>
  <si>
    <t>Range_Centerline</t>
  </si>
  <si>
    <t>A surveyed reference track marking the center of a test range. Vessels undergoing testing must maintain position along this track.</t>
  </si>
  <si>
    <t>F_Demarcation\C_Hydro\102_Range_Centerline</t>
  </si>
  <si>
    <t>FC130-000</t>
  </si>
  <si>
    <t>Radar_Ref_Line</t>
  </si>
  <si>
    <t>A line shown on a chart in proximity to a shipping route, along which ships are guided by a traffic control center located in a radar station. (See also BC032)</t>
  </si>
  <si>
    <t>F_Demarcation\C_Hydro\130_Radar_Ref_Line</t>
  </si>
  <si>
    <t>FC165-000</t>
  </si>
  <si>
    <t>Route-Maritime</t>
  </si>
  <si>
    <t>A track or lane established for the safe passage of ships. (Retired; complex features no longer needed).</t>
  </si>
  <si>
    <t>F_Demarcation\C_Hydro\165_Route-Maritime</t>
  </si>
  <si>
    <t>FC166-000</t>
  </si>
  <si>
    <t>Route-Deep_Water</t>
  </si>
  <si>
    <t>Complex feature with possible components: FC165 and RTT098, FC165 and RTT099, BC099, BC098. (Retired; complex features no longer needed).</t>
  </si>
  <si>
    <t>F_Demarcation\C_Hydro\166_Route-Deep_Water</t>
  </si>
  <si>
    <t>FC167-000</t>
  </si>
  <si>
    <t>Defined_Water</t>
  </si>
  <si>
    <t>Complex feature with possible components: FC165 and RTT008, FC165 and RTT012, AT060 and STA032, AT050 and STA033, GA055, BB011, BC099, BC098, and BB007.</t>
  </si>
  <si>
    <t>F_Demarcation\C_Hydro\167_Defined_Water</t>
  </si>
  <si>
    <t>FC168-000</t>
  </si>
  <si>
    <t>Route-Canal</t>
  </si>
  <si>
    <t>A navigable channel in lakes or other waterways. (Superseded by Channel (BH191); use attribution if the type of waterbody is required).</t>
  </si>
  <si>
    <t>F_Demarcation\C_Hydro\168_Route-Canal</t>
  </si>
  <si>
    <t>FC170-000</t>
  </si>
  <si>
    <t>Safety_Fairway</t>
  </si>
  <si>
    <t>A route established for the safe passage of vessels through offshore oil and gas fields and minefields.</t>
  </si>
  <si>
    <t>F_Demarcation\C_Hydro\170_Safety_Fairway</t>
  </si>
  <si>
    <t>FC177-000</t>
  </si>
  <si>
    <t>Swept_Area</t>
  </si>
  <si>
    <t>An area that has been determined to be clear of navigational dangers to a specified depth.</t>
  </si>
  <si>
    <t>F_Demarcation\C_Hydro\177_Swept_Area</t>
  </si>
  <si>
    <t>FC179-000</t>
  </si>
  <si>
    <t>Side_Scan_Sonar_Coverage</t>
  </si>
  <si>
    <t>An area of horizontal coverage recorded by side scan SONAR survey.</t>
  </si>
  <si>
    <t>F_Demarcation\C_Hydro\179_Side_Scan_Sonar_Coverage</t>
  </si>
  <si>
    <t>FC200-000</t>
  </si>
  <si>
    <t>Mine_Counter_Measure_Area</t>
  </si>
  <si>
    <t>An area where Mine Counter Measure operations have taken place.</t>
  </si>
  <si>
    <t>F_Demarcation\C_Hydro\200_Mine_Counter_Measure_Area</t>
  </si>
  <si>
    <t>GA005-000</t>
  </si>
  <si>
    <t>Airspace</t>
  </si>
  <si>
    <t>Designated airspace within which some or all aircraft may be subjected to air traffic control.</t>
  </si>
  <si>
    <t>G_Aero_Info\A_Air_Route\005_Airspace</t>
  </si>
  <si>
    <t>GA010-000</t>
  </si>
  <si>
    <t>ATS_Segment</t>
  </si>
  <si>
    <t>A portion of an Air Traffic Service (ATS) Route identified by two electronic NAVAIDS at the extremities and/or reporting points.</t>
  </si>
  <si>
    <t>G_Aero_Info\A_Air_Route\010_ATS_Segment</t>
  </si>
  <si>
    <t>GA015-000</t>
  </si>
  <si>
    <t>Spec_Use_Airspace</t>
  </si>
  <si>
    <t>Airspace of defined dimension identified by area on Earth's surface where activities must be confined because of their nature and/or where limitations may be imposed on aircraft operations not associated with those activities.</t>
  </si>
  <si>
    <t>G_Aero_Info\A_Air_Route\015_Spec_Use_Airspace</t>
  </si>
  <si>
    <t>GA020-000</t>
  </si>
  <si>
    <t>Airspace_Bndry_Seg</t>
  </si>
  <si>
    <t>Single segment of an Airspace (GA005).</t>
  </si>
  <si>
    <t>G_Aero_Info\A_Air_Route\020_Airspace_Bndry_Seg</t>
  </si>
  <si>
    <t>GA025-000</t>
  </si>
  <si>
    <t>Spec_Airspace_Seg</t>
  </si>
  <si>
    <t>Single segment of a Special Use Airspace (GA015).</t>
  </si>
  <si>
    <t>G_Aero_Info\A_Air_Route\025_Spec_Airspace_Seg</t>
  </si>
  <si>
    <t>GA030-000</t>
  </si>
  <si>
    <t>Off_Route_Bearing</t>
  </si>
  <si>
    <t>Captures the Off Route Radials/Bearings (directions and distance from a NAVAID to a Waypoint).</t>
  </si>
  <si>
    <t>G_Aero_Info\A_Air_Route\030_Off_Route_Bearing</t>
  </si>
  <si>
    <t>GA031-000</t>
  </si>
  <si>
    <t>Lead_Radial</t>
  </si>
  <si>
    <t>A radial or bearing which provides at least 2 miles of lead to assist in turning onto the intermediate portion of an instrument approach when the angle of intercept is greater than 90 degrees.</t>
  </si>
  <si>
    <t>G_Aero_Info\A_Air_Route\031_Lead_Radial</t>
  </si>
  <si>
    <t>GA035-000</t>
  </si>
  <si>
    <t>NAVAIDS</t>
  </si>
  <si>
    <t>Any visual or electronic device which provides point-to-point guidance information or position data.</t>
  </si>
  <si>
    <t>G_Aero_Info\A_Air_Route\035_NAVAIDS</t>
  </si>
  <si>
    <t>GA045-000</t>
  </si>
  <si>
    <t>Route</t>
  </si>
  <si>
    <t>A specific route designated for channeling the flow or traffic as necessary for the provision of air traffic services.</t>
  </si>
  <si>
    <t>G_Aero_Info\A_Air_Route\045_Route</t>
  </si>
  <si>
    <t>GA047-000</t>
  </si>
  <si>
    <t>Terminal_Route</t>
  </si>
  <si>
    <t>Definition of route segments, action points, and various approach minimum altitudes and distances from the end of landing runway as functions of aircraft type and instrument approach procedures.</t>
  </si>
  <si>
    <t>G_Aero_Info\A_Air_Route\047_Terminal_Route</t>
  </si>
  <si>
    <t>GA048-000</t>
  </si>
  <si>
    <t>ILS_Component</t>
  </si>
  <si>
    <t>Navigation Components which are essential to the establishment and execution of a precision approach based on the Instrument Landing System (ILS).</t>
  </si>
  <si>
    <t>G_Aero_Info\A_Air_Route\048_ILS_Component</t>
  </si>
  <si>
    <t>GA049-000</t>
  </si>
  <si>
    <t>ILS_Terminal_Seg</t>
  </si>
  <si>
    <t>A specific terminal route/segment designated for channeling the flow of traffic via Instrument Landing System (ILS) terminal procedures.</t>
  </si>
  <si>
    <t>G_Aero_Info\A_Air_Route\049_ILS_Terminal_Seg</t>
  </si>
  <si>
    <t>GA055-000</t>
  </si>
  <si>
    <t>Waypoint</t>
  </si>
  <si>
    <t>A predetermined geographical position, used for route instrument approach definition or progress reporting purposes or to change frequency etc.</t>
  </si>
  <si>
    <t>G_Aero_Info\A_Air_Route\055_Waypoint</t>
  </si>
  <si>
    <t>GA065-000</t>
  </si>
  <si>
    <t>Air_Warning_Light</t>
  </si>
  <si>
    <t>A light or lights marking an obstacle which constitutes a danger to air navigation.</t>
  </si>
  <si>
    <t>G_Aero_Info\A_Air_Route\065_Air_Warning_Light</t>
  </si>
  <si>
    <t>GA070-000</t>
  </si>
  <si>
    <t>Primary_Surface</t>
  </si>
  <si>
    <t>An imaginary surface, longitudinally centered on each runway, at a length of the runway length plus 1000 feet on each end, and a width of 2,000 feet.</t>
  </si>
  <si>
    <t>G_Aero_Info\A_Air_Route\070_Primary_Surface</t>
  </si>
  <si>
    <t>GA071-000</t>
  </si>
  <si>
    <t>Apprch_Surface</t>
  </si>
  <si>
    <t>An inclined plane, symmetrical about the runway centerline, beginning 200 feet outboard of the runway end point, at the height of the runway end point and extending for 42332 feet (7nm - 200 feet of primary surface). The slope of the approach clearance surface is 50 to 1 along the runway centerline extended until it reaches a height of 500 feet above the height of the lowest runway end on the airport. It then continues horizontally at this height to a point 42532 feet (7nm) from the end of the runway. The width of this surface at the runway end is the same as the primary surface, it flares uniformly, and the width at 42,532 feet is 13,899 feet.</t>
  </si>
  <si>
    <t>G_Aero_Info\A_Air_Route\071_Apprch_Surface</t>
  </si>
  <si>
    <t>GA072-000</t>
  </si>
  <si>
    <t>Apprch_Trans_Surface</t>
  </si>
  <si>
    <t>This surface connects the side of the runway primary and approach surfaces to the inner horizontal surface. The surface extends outward, perpendicular to the centerline of each runway, from the edges of the primary surface, at a slope of 7:1 to a width of 1050 feet and a height of 150 feet above the lowest runway end.</t>
  </si>
  <si>
    <t>G_Aero_Info\A_Air_Route\072_Apprch_Trans_Surface</t>
  </si>
  <si>
    <t>GA073-000</t>
  </si>
  <si>
    <t>Inner_Hor_Surface</t>
  </si>
  <si>
    <t>The inner horizontal surface for each runway is defined by two half circles centered on the runway ends and joined by tangents. The radii of the half circles are 7500 feet and the tangents are parallel to the runway centerline at a distance of 7500 feet. The surface is a constant 150 feet above the lowest runway end.</t>
  </si>
  <si>
    <t>G_Aero_Info\A_Air_Route\073_Inner_Hor_Surface</t>
  </si>
  <si>
    <t>GA074-000</t>
  </si>
  <si>
    <t>Conical_Surface</t>
  </si>
  <si>
    <t>A surface extending from the periphery of the inner horizontal surface outward and upward at a slope of 20:1 for a horizontal distance of 7000 feet to a height of 500 feet above the lowest runway end.</t>
  </si>
  <si>
    <t>G_Aero_Info\A_Air_Route\074_Conical_Surface</t>
  </si>
  <si>
    <t>GA075-000</t>
  </si>
  <si>
    <t>Outer_Hor_Surface</t>
  </si>
  <si>
    <t>A plane, located 500 feet above the lowest runway end, extending outward from the outer periphery of the conical surface for a horizontal distance of 28032 feet.</t>
  </si>
  <si>
    <t>G_Aero_Info\A_Air_Route\075_Outer_Hor_Surface</t>
  </si>
  <si>
    <t>GA076-000</t>
  </si>
  <si>
    <t>Hor_Trans_Surface</t>
  </si>
  <si>
    <t>This surface connects the side of the approach surface to the conical and outer horizontal surface. The surface extends outward, perpendicular to the extended runway centerline from the edges of the approach surface, at a 7:1 slope. The slope of the 7:1 surface is referenced to the runway centerline.</t>
  </si>
  <si>
    <t>G_Aero_Info\A_Air_Route\076_Hor_Trans_Surface</t>
  </si>
  <si>
    <t>GA400-000</t>
  </si>
  <si>
    <t>Aerodrome_Associated_Strip</t>
  </si>
  <si>
    <t>A linear terrain feature (for example: a drag strip) that falls within the coverage of the airport sketch.</t>
  </si>
  <si>
    <t>G_Aero_Info\A_Air_Route\400_Aerodrome_Associated_Strip</t>
  </si>
  <si>
    <t>GB005-000</t>
  </si>
  <si>
    <t>An area of land set aside for the take-off, landing and/or accommodation of aircraft. (Revised concept but same code that excludes water-based facilities).</t>
  </si>
  <si>
    <t>G_Aero_Info\B_Aerodrome\005_Airport</t>
  </si>
  <si>
    <t>GB006-000</t>
  </si>
  <si>
    <t>Airfield</t>
  </si>
  <si>
    <t>A land aerodrome with limited facilities.</t>
  </si>
  <si>
    <t>G_Aero_Info\B_Aerodrome\006_Airfield</t>
  </si>
  <si>
    <t>GB007-000</t>
  </si>
  <si>
    <t>Airport_Area</t>
  </si>
  <si>
    <t>A tract of land used for landing, take-off, and movement of aircraft not including associated buildings, runways and other facilities.</t>
  </si>
  <si>
    <t>G_Aero_Info\B_Aerodrome\007_Airport_Area</t>
  </si>
  <si>
    <t>GB010-000</t>
  </si>
  <si>
    <t>Airport_Lighting</t>
  </si>
  <si>
    <t>Lights used to: define and outline perimeters, runways, taxiways, etc.; guide aircraft while on the ground, and to provide guidance to aircraft on approach for landing.</t>
  </si>
  <si>
    <t>G_Aero_Info\B_Aerodrome\010_Airport_Lighting</t>
  </si>
  <si>
    <t>GB015-000</t>
  </si>
  <si>
    <t>Apron</t>
  </si>
  <si>
    <t>A defined paved or hard-packed area at an airport or heliport intended for aircraft parking.</t>
  </si>
  <si>
    <t>G_Aero_Info\B_Aerodrome\015_Apron</t>
  </si>
  <si>
    <t>GB020-000</t>
  </si>
  <si>
    <t>Arresting_Gear</t>
  </si>
  <si>
    <t>Devices such as cables or barriers that can be used to stop an aircraft immediately upon landing.</t>
  </si>
  <si>
    <t>G_Aero_Info\B_Aerodrome\020_Arresting_Gear</t>
  </si>
  <si>
    <t>GB025-000</t>
  </si>
  <si>
    <t>Blast_Barrier</t>
  </si>
  <si>
    <t>A barrier used to divert or dissipate jet or propeller blast.</t>
  </si>
  <si>
    <t>G_Aero_Info\B_Aerodrome\025_Blast_Barrier</t>
  </si>
  <si>
    <t>GB030-000</t>
  </si>
  <si>
    <t>Helo_Landing_Pad</t>
  </si>
  <si>
    <t>An improved area used for take-off, and landing, by helicopters and other vertical take-off and landing aircraft.</t>
  </si>
  <si>
    <t>G_Aero_Info\B_Aerodrome\030_Helo_Landing_Pad</t>
  </si>
  <si>
    <t>GB035-000</t>
  </si>
  <si>
    <t>Heliport</t>
  </si>
  <si>
    <t>An improved area used for take-off and landing of helicopters. (Revised concept but same code that is restricted to helicoptors (VTOL are much heavier and require stronger landing surfaces)</t>
  </si>
  <si>
    <t>G_Aero_Info\B_Aerodrome\035_Heliport</t>
  </si>
  <si>
    <t>GB040-000</t>
  </si>
  <si>
    <t>Launch_Pad</t>
  </si>
  <si>
    <t>A designated area or structure from which a rocket or missile is launched.</t>
  </si>
  <si>
    <t>G_Aero_Info\B_Aerodrome\040_Launch_Pad</t>
  </si>
  <si>
    <t>GB045-000</t>
  </si>
  <si>
    <t>Overrun_or_Stopway</t>
  </si>
  <si>
    <t>An area beyond the take-off runway designated as able to support an airplane during an aborted take-off.</t>
  </si>
  <si>
    <t>G_Aero_Info\B_Aerodrome\045_Overrun_or_Stopway</t>
  </si>
  <si>
    <t>GB046-000</t>
  </si>
  <si>
    <t>Touchdown_Zone</t>
  </si>
  <si>
    <t>The first 3000 feet of the runway beginning at the threshold. The threshold is the beginning of that portion of the runway available for landing .</t>
  </si>
  <si>
    <t>G_Aero_Info\B_Aerodrome\046_Touchdown_Zone</t>
  </si>
  <si>
    <t>GB050-000</t>
  </si>
  <si>
    <t>Revetment</t>
  </si>
  <si>
    <t>A barricade which protects an aircraft, equipment, or facilities from hostile action.</t>
  </si>
  <si>
    <t>G_Aero_Info\B_Aerodrome\050_Revetment</t>
  </si>
  <si>
    <t>GB055-000</t>
  </si>
  <si>
    <t>Runway</t>
  </si>
  <si>
    <t>A defined area, usually rectangular, used for the conventional landing and take-off of aircraft. (Excludes GB045)</t>
  </si>
  <si>
    <t>G_Aero_Info\B_Aerodrome\055_Runway</t>
  </si>
  <si>
    <t>GB056-000</t>
  </si>
  <si>
    <t>Runway_Endpoint</t>
  </si>
  <si>
    <t>The points located on the centerline at the ends of the runway.</t>
  </si>
  <si>
    <t>G_Aero_Info\B_Aerodrome\056_Runway_Endpoint</t>
  </si>
  <si>
    <t>GB057-000</t>
  </si>
  <si>
    <t>Shoulder</t>
  </si>
  <si>
    <t>Adjacent area along either side of a road or runway not normally used by vehicles or aircraft, but provided as an allowable margin in case of emergency situations.</t>
  </si>
  <si>
    <t>G_Aero_Info\B_Aerodrome\057_Shoulder</t>
  </si>
  <si>
    <t>GB058-000</t>
  </si>
  <si>
    <t>Point_Abeam</t>
  </si>
  <si>
    <t>The point on a line that is nearest to an off line point. For example, a point on the runway centerline is abeam the Glide Slope Antenna when the distance from the centerline point to the antenna is a minimum.</t>
  </si>
  <si>
    <t>G_Aero_Info\B_Aerodrome\058_Point_Abeam</t>
  </si>
  <si>
    <t>GB059-000</t>
  </si>
  <si>
    <t>Airfield_Elev_Pt</t>
  </si>
  <si>
    <t>The highest point of an airport's usable runways measured in feet from the geoid (orthometric height).</t>
  </si>
  <si>
    <t>G_Aero_Info\B_Aerodrome\059_Airfield_Elev_Pt</t>
  </si>
  <si>
    <t>GB060-000</t>
  </si>
  <si>
    <t>Rwy_Radar_Reflector</t>
  </si>
  <si>
    <t>A device, normally placed near the threshold of a runway, used for reflecting radar signals.</t>
  </si>
  <si>
    <t>G_Aero_Info\B_Aerodrome\060_Rwy_Radar_Reflector</t>
  </si>
  <si>
    <t>GB065-000</t>
  </si>
  <si>
    <t>Seaplane_Base</t>
  </si>
  <si>
    <t>An installation supporting aircraft capable of taking off and landing on water.</t>
  </si>
  <si>
    <t>G_Aero_Info\B_Aerodrome\065_Seaplane_Base</t>
  </si>
  <si>
    <t>GB070-000</t>
  </si>
  <si>
    <t>Seaplane_Ldg_Area</t>
  </si>
  <si>
    <t>A designated portion of water outlined by visual surface markings, used by seaplanes to land and take off.</t>
  </si>
  <si>
    <t>G_Aero_Info\B_Aerodrome\070_Seaplane_Ldg_Area</t>
  </si>
  <si>
    <t>GB075-000</t>
  </si>
  <si>
    <t>Taxiway</t>
  </si>
  <si>
    <t>A prepared surface providing access to/from runways and the aircraft parking area, terminal area, or service area, etc.</t>
  </si>
  <si>
    <t>G_Aero_Info\B_Aerodrome\075_Taxiway</t>
  </si>
  <si>
    <t>GB080-000</t>
  </si>
  <si>
    <t>Wind_Sock</t>
  </si>
  <si>
    <t>A visual device used to provide wind information.</t>
  </si>
  <si>
    <t>G_Aero_Info\B_Aerodrome\080_Wind_Sock</t>
  </si>
  <si>
    <t>GB090-000</t>
  </si>
  <si>
    <t>Displaced_Threshold</t>
  </si>
  <si>
    <t>The designated beginning of the portion of the runway usable for landing. This is located at a point on the runway other than the designated beginning of the runway. In addition, the feature typically exists at each end of the runway.</t>
  </si>
  <si>
    <t>G_Aero_Info\B_Aerodrome\090_Displaced_Threshold</t>
  </si>
  <si>
    <t>GB160-000</t>
  </si>
  <si>
    <t>Decontamination_Pad</t>
  </si>
  <si>
    <t>A designated area where a Nuclear, Biological, or Chemical (NBC) contaminated aircraft, checked at landing, is sent to be decontaminated by special teams.</t>
  </si>
  <si>
    <t>G_Aero_Info\B_Aerodrome\160_Decontamination_Pad</t>
  </si>
  <si>
    <t>GB170-000</t>
  </si>
  <si>
    <t>INS_Alignment_Pad</t>
  </si>
  <si>
    <t>A designated area where the automated navigation instruments of aircraft are reset before taking off.</t>
  </si>
  <si>
    <t>G_Aero_Info\B_Aerodrome\170_INS_Alignment_Pad</t>
  </si>
  <si>
    <t>GB220-000</t>
  </si>
  <si>
    <t>Air_Obstruction</t>
  </si>
  <si>
    <t>An existing object of natural growth, or terrain at a fixed location within prescribed area with a reference to which vertical clearance is or must be provided during flight operations. (Revised concept but same code that allows for either natural or man-made; where needed distinguish using Attribute: Man-made).</t>
  </si>
  <si>
    <t>G_Aero_Info\B_Aerodrome\220_Air_Obstruction</t>
  </si>
  <si>
    <t>GB221-000</t>
  </si>
  <si>
    <t>Misc_Obstruction</t>
  </si>
  <si>
    <t>An object at a fixed location with reference to which vertical clearance is or must be provided during flight operations. (Superseded by Air Obstruction (GB220) which has been revised to include man-made obstructions.)</t>
  </si>
  <si>
    <t>G_Aero_Info\B_Aerodrome\221_Misc_Obstruction</t>
  </si>
  <si>
    <t>GB222-000</t>
  </si>
  <si>
    <t>Low_Air_Maneuver_Pylon</t>
  </si>
  <si>
    <t>A vertical structure that is used to mark turns and/or provide obstacles around which aircraft may perform low level aerobatic manoeuvres (for example: during racing or training).</t>
  </si>
  <si>
    <t>G_Aero_Info\B_Aerodrome\222_Low_Air_Maneuver_Pylon</t>
  </si>
  <si>
    <t>GB230-000</t>
  </si>
  <si>
    <t>Aircraft_Hangar</t>
  </si>
  <si>
    <t>A building for housing aircraft.</t>
  </si>
  <si>
    <t>G_Aero_Info\B_Aerodrome\230_Aircraft_Hangar</t>
  </si>
  <si>
    <t>GB250-000</t>
  </si>
  <si>
    <t>Hardened_Aircraft_Shelter</t>
  </si>
  <si>
    <t>A hardened structure built above or partially above ground that encloses aircraft to provide protection from enemy attack.</t>
  </si>
  <si>
    <t>G_Aero_Info\B_Aerodrome\250_Hardened_Aircraft_Shelter</t>
  </si>
  <si>
    <t>Runway_Marking</t>
  </si>
  <si>
    <t>G_Aero_Info\B_Aerodrome\900_Runway_Marking</t>
  </si>
  <si>
    <t>GB900-000</t>
  </si>
  <si>
    <t>Runway_Marking_Generic</t>
  </si>
  <si>
    <t>A painted surface shape in accordance to Advisory Circular 150/5340-1J and FAA Aeronautical Information Manual</t>
  </si>
  <si>
    <t>GB900-001</t>
  </si>
  <si>
    <t>Centerline</t>
  </si>
  <si>
    <t>GB900-002</t>
  </si>
  <si>
    <t>Borderline</t>
  </si>
  <si>
    <t>GB900-003</t>
  </si>
  <si>
    <t>Holding_Mark</t>
  </si>
  <si>
    <t>GB900-004</t>
  </si>
  <si>
    <t>Runway_ILS_Holding_Mark</t>
  </si>
  <si>
    <t>GB900-005</t>
  </si>
  <si>
    <t>Arrow</t>
  </si>
  <si>
    <t>GB900-006</t>
  </si>
  <si>
    <t>Arrow_Head</t>
  </si>
  <si>
    <t>GB900-007</t>
  </si>
  <si>
    <t>Blastpad_Chevron</t>
  </si>
  <si>
    <t>GB900-008</t>
  </si>
  <si>
    <t>Blastpad_Bar</t>
  </si>
  <si>
    <t>GB900-009</t>
  </si>
  <si>
    <t>Alphanumeric</t>
  </si>
  <si>
    <t>GB900-010</t>
  </si>
  <si>
    <t>Threshold_Bar</t>
  </si>
  <si>
    <t>GB900-011</t>
  </si>
  <si>
    <t>Threshold_Key-A</t>
  </si>
  <si>
    <t>GB900-012</t>
  </si>
  <si>
    <t>Threshold_Key-B</t>
  </si>
  <si>
    <t>GB900-013</t>
  </si>
  <si>
    <t>TDZ_Mark-1_Stripe</t>
  </si>
  <si>
    <t>GB900-014</t>
  </si>
  <si>
    <t>TDZ_Mark-2_Stripe</t>
  </si>
  <si>
    <t>GB900-015</t>
  </si>
  <si>
    <t>TDZ_Mark-3_Stripe</t>
  </si>
  <si>
    <t>GB900-016</t>
  </si>
  <si>
    <t>Closed_Runway-Permanent</t>
  </si>
  <si>
    <t>GB900-017</t>
  </si>
  <si>
    <t>Alternate_Closed_Runway</t>
  </si>
  <si>
    <t>GB900-018</t>
  </si>
  <si>
    <t>Closed_Runway-Temp</t>
  </si>
  <si>
    <t>GB900-019</t>
  </si>
  <si>
    <t>Demarcation_Bar</t>
  </si>
  <si>
    <t>GB900-020</t>
  </si>
  <si>
    <t>Shoulder_Mark</t>
  </si>
  <si>
    <t>GB900-021</t>
  </si>
  <si>
    <t>Roadway_Stop</t>
  </si>
  <si>
    <t>G_Aero_Info\B_Aerodrome\901_Taxiway_Marking</t>
  </si>
  <si>
    <t>GB901-000</t>
  </si>
  <si>
    <t>Taxiway_Marking_Generic</t>
  </si>
  <si>
    <t>A painted surface shape in accordance to Advisory Circular 150/5340-1J and FAA Aeronautical Information Manual.</t>
  </si>
  <si>
    <t>GB901-001</t>
  </si>
  <si>
    <t>GB901-002</t>
  </si>
  <si>
    <t>Centerline-Enhanced</t>
  </si>
  <si>
    <t>GB901-003</t>
  </si>
  <si>
    <t>Edgeline</t>
  </si>
  <si>
    <t>GB901-004</t>
  </si>
  <si>
    <t>Edgeline-Dashed</t>
  </si>
  <si>
    <t>GB901-005</t>
  </si>
  <si>
    <t>Alternate_Edgeline-Dashed</t>
  </si>
  <si>
    <t>GB901-006</t>
  </si>
  <si>
    <t>GB901-007</t>
  </si>
  <si>
    <t>Stopway_Chevron</t>
  </si>
  <si>
    <t>GB901-008</t>
  </si>
  <si>
    <t>Stopway_Bar</t>
  </si>
  <si>
    <t>GB901-009</t>
  </si>
  <si>
    <t>Closed_Taxiway-Permanent</t>
  </si>
  <si>
    <t>GB901-010</t>
  </si>
  <si>
    <t>Alternate_Closed_Taxiway</t>
  </si>
  <si>
    <t>GB901-011</t>
  </si>
  <si>
    <t>Closed_Taxiway-Temp</t>
  </si>
  <si>
    <t>G_Aero_Info\B_Aerodrome\902_Roadway_Marking</t>
  </si>
  <si>
    <t>GB902-001</t>
  </si>
  <si>
    <t>Roadway_Marking_Generic</t>
  </si>
  <si>
    <t>GB902-002</t>
  </si>
  <si>
    <t>Solid_Line</t>
  </si>
  <si>
    <t>GB902-003</t>
  </si>
  <si>
    <t>Zippered_Line</t>
  </si>
  <si>
    <t>GB902-004</t>
  </si>
  <si>
    <t>Stop_Line</t>
  </si>
  <si>
    <t>G_Aero_Info\B_Aerodrome\903_Other_Markings</t>
  </si>
  <si>
    <t>GB903-000</t>
  </si>
  <si>
    <t>Other_Markings_Generic</t>
  </si>
  <si>
    <t>GB903-001</t>
  </si>
  <si>
    <t>Non-movement_Area</t>
  </si>
  <si>
    <t>GB903-002</t>
  </si>
  <si>
    <t>Painted_Shape</t>
  </si>
  <si>
    <t>G_Aero_Info\B_Aerodrome\904_Instruction_Sign</t>
  </si>
  <si>
    <t>GB904-000</t>
  </si>
  <si>
    <t>Instruction_Sign_Generic</t>
  </si>
  <si>
    <t>A sign installed on airfields in accordance to Advisory Circular 150/5340-1J and FAA Aeronautical Information Manual.</t>
  </si>
  <si>
    <t>GB904-001</t>
  </si>
  <si>
    <t>HoldingPosition_Sign</t>
  </si>
  <si>
    <t>GB904-002</t>
  </si>
  <si>
    <t>NoEntry_Sign</t>
  </si>
  <si>
    <t>G_Aero_Info\B_Aerodrome\905_Location_Sign</t>
  </si>
  <si>
    <t>GB905-000</t>
  </si>
  <si>
    <t>Location_Sign_Generic</t>
  </si>
  <si>
    <t>GB905-001</t>
  </si>
  <si>
    <t>Runway_Location_Sign</t>
  </si>
  <si>
    <t>GB905-002</t>
  </si>
  <si>
    <t>Taxiway_Location_Sign</t>
  </si>
  <si>
    <t>GB905-003</t>
  </si>
  <si>
    <t>Runway_Boundary_Sign</t>
  </si>
  <si>
    <t>GB905-004</t>
  </si>
  <si>
    <t>ILS_Critical_Area_Boundary_Sign</t>
  </si>
  <si>
    <t>GB906-000</t>
  </si>
  <si>
    <t>Direction_Sign</t>
  </si>
  <si>
    <t>G_Aero_Info\B_Aerodrome\906_Direction_Sign</t>
  </si>
  <si>
    <t>GB907-000</t>
  </si>
  <si>
    <t>Destination_Sign</t>
  </si>
  <si>
    <t>G_Aero_Info\B_Aerodrome\907_Destination_Sign</t>
  </si>
  <si>
    <t>GB908-000</t>
  </si>
  <si>
    <t>Information_Sign</t>
  </si>
  <si>
    <t>G_Aero_Info\B_Aerodrome\908_Information_Sign</t>
  </si>
  <si>
    <t>GB909-000</t>
  </si>
  <si>
    <t>Runway_Distance_Sign</t>
  </si>
  <si>
    <t>G_Aero_Info\B_Aerodrome\909_Runway_Distance_Sign</t>
  </si>
  <si>
    <t>GC001-000</t>
  </si>
  <si>
    <t>Runway_Element</t>
  </si>
  <si>
    <t>A part of a runway (as defined by DO-272B). A Runway_Element is delimited by the outer edge of the white runway edge painting or surface edge if no marking is present, excluding runway shoulders.</t>
  </si>
  <si>
    <t>G_Aero_Info\C_AMDB\001_Runway_Element</t>
  </si>
  <si>
    <t>GC002-000</t>
  </si>
  <si>
    <t>Runway_Intersection</t>
  </si>
  <si>
    <t>The intersecting area shared by two or more runways (as defined by DO-272B). The Runway_Intersection is delimited by the outge of the white runway edge painting or surface edge if no marking is present, excluding runway shoulders.</t>
  </si>
  <si>
    <t>G_Aero_Info\C_AMDB\002_Runway_Intersection</t>
  </si>
  <si>
    <t>GC003-000</t>
  </si>
  <si>
    <t>Runway_Threshold</t>
  </si>
  <si>
    <t>The beginning of that portion of the runway that is available for landing (as defined by DO-272B).</t>
  </si>
  <si>
    <t>G_Aero_Info\C_AMDB\003_Runway_Threshold</t>
  </si>
  <si>
    <t>GC004-000</t>
  </si>
  <si>
    <t>A symbol or group of symbols displayed on the surface of the runway in order to convey aeronautical information (as defined by DO-272B). Includines runway designation marking, runway centerline marking, threshold marking, traverse stripes, touchdown zone marking and runway side strip marking.</t>
  </si>
  <si>
    <t>G_Aero_Info\C_AMDB\004_Runway_Marking</t>
  </si>
  <si>
    <t>GC005-000</t>
  </si>
  <si>
    <t>Painted_Centerline</t>
  </si>
  <si>
    <t>A continuous line captured along the painted line in the center of a runway connecting the two threshold (as defined by DO-272B).</t>
  </si>
  <si>
    <t>G_Aero_Info\C_AMDB\005_Painted_Centerline</t>
  </si>
  <si>
    <t>GC006-000</t>
  </si>
  <si>
    <t>LAHSO_Location</t>
  </si>
  <si>
    <t>Location of marking used for Land and Hold Short Operations (as defined by DO-272B). These runway operations include landing and holding short of an intersecting runway, an intersecting taxiway, or on some other designated point on a runway other than an intersecting runway or taxiway.</t>
  </si>
  <si>
    <t>G_Aero_Info\C_AMDB\006_LAHSO_Location</t>
  </si>
  <si>
    <t>GC007-000</t>
  </si>
  <si>
    <t>Arresting_Gear_Location</t>
  </si>
  <si>
    <t>Location of the arresting gear cable across the runway (as defined by DO-272B).</t>
  </si>
  <si>
    <t>G_Aero_Info\C_AMDB\007_Arresting_Gear_Location</t>
  </si>
  <si>
    <t>GC008-000</t>
  </si>
  <si>
    <t>Runway_Shoulder</t>
  </si>
  <si>
    <t>An area adjacent to the edge of a runway pavement so prepared as to provide a transition between the pavement and the adjacent surface (as defined by DO-272B).</t>
  </si>
  <si>
    <t>G_Aero_Info\C_AMDB\008_Runway_Shoulder</t>
  </si>
  <si>
    <t>GC009-000</t>
  </si>
  <si>
    <t>Stopway</t>
  </si>
  <si>
    <t>A defined rectangular area on the ground at the end of takeoff run available prepared as a suitable area in which an aircraft can be stopped in the case of an abandoned takeoff (as defined by DO-272B).</t>
  </si>
  <si>
    <t>G_Aero_Info\C_AMDB\009_Stopway</t>
  </si>
  <si>
    <t>GC010-000</t>
  </si>
  <si>
    <t>Runway_Displaced_Area</t>
  </si>
  <si>
    <t>That portion of a runway between the beginning of the runway and the displaced threshold (as defined by DO-272B). Does not include runway shoulders.</t>
  </si>
  <si>
    <t>G_Aero_Info\C_AMDB\010_Runway_Displaced_Area</t>
  </si>
  <si>
    <t>GC011-000</t>
  </si>
  <si>
    <t>Blastpad</t>
  </si>
  <si>
    <t>Specially prepared surface placed adjacent to the end of a runway to eliminate the erosive effect of the high wind forces produced by airplanes at the beginning of their taqkeoff roll (as defined by DO-272B). The area is usually covered in chevrons. Blastpads may not be used for taxiing, landing or takeoff.</t>
  </si>
  <si>
    <t>G_Aero_Info\C_AMDB\011_Blastpad</t>
  </si>
  <si>
    <t>GC012-000</t>
  </si>
  <si>
    <t>Runway_Exit_Line</t>
  </si>
  <si>
    <t>A guidance line painted on the runway exit (as defined by DO-272B).</t>
  </si>
  <si>
    <t>G_Aero_Info\C_AMDB\012_Runway_Exit_Line</t>
  </si>
  <si>
    <t>GC013-000</t>
  </si>
  <si>
    <t>Helipad_FATO</t>
  </si>
  <si>
    <t>Helipad Final Approach and Take-off Area - the beginning of that portion of the helipad that is available for landing (as defined by DO-272B). The outer edge of the white FATO-marking should be used to represent the FATO</t>
  </si>
  <si>
    <t>G_Aero_Info\C_AMDB\013_Helipad_FATO</t>
  </si>
  <si>
    <t>GC014-000</t>
  </si>
  <si>
    <t>Helipad_TLOF</t>
  </si>
  <si>
    <t>Helipad Touchdown/Lift-off Area - a load bearing area on which a helicopter may touchdown or liftoff (as defined by DO-272B). The outer edge of the white TLOF-marking should be used to represent the TLOF</t>
  </si>
  <si>
    <t>G_Aero_Info\C_AMDB\014_Helipad_TLOF</t>
  </si>
  <si>
    <t>GC015-000</t>
  </si>
  <si>
    <t>Helipad_Threshold</t>
  </si>
  <si>
    <t>The threshold of a helipad (as defined by DO-272B).</t>
  </si>
  <si>
    <t>G_Aero_Info\C_AMDB\015_Helipad_Threshold</t>
  </si>
  <si>
    <t>GC016-000</t>
  </si>
  <si>
    <t>Taxiway_Element</t>
  </si>
  <si>
    <t>A part of a taxiway. A Taxiway_Element is delimited by the outer side of the taxiway edge marking (as defined by DO-272B). Includes taxiways, apron taxiways, rapid exit taxiways, and aircraft stand taxilane surfaces.</t>
  </si>
  <si>
    <t>G_Aero_Info\C_AMDB\016_Taxiway_Element</t>
  </si>
  <si>
    <t>GC017-000</t>
  </si>
  <si>
    <t>Taxiway_Shoulder</t>
  </si>
  <si>
    <t>An area adjacent to the edge of a taxiway pavement so prepared as to provide a transition between the pavement and the adjacent surface (as defined by DO-272B). Should exclude the taxiway edge marking</t>
  </si>
  <si>
    <t>G_Aero_Info\C_AMDB\017_Taxiway_Shoulder</t>
  </si>
  <si>
    <t>GC018-000</t>
  </si>
  <si>
    <t>Taxiway_Guidance_Line</t>
  </si>
  <si>
    <t>A guidance line painted on a taxiway (as defined by DO-272B). Excludes exit lines and stand guidance taxilines.</t>
  </si>
  <si>
    <t>G_Aero_Info\C_AMDB\018_Taxiway_Guidance_Line</t>
  </si>
  <si>
    <t>GC019-000</t>
  </si>
  <si>
    <t>Taxiway_Intxn_Marking</t>
  </si>
  <si>
    <t>A taxiway intersection marking painted across a taxiway (as defined by DO-272B).</t>
  </si>
  <si>
    <t>G_Aero_Info\C_AMDB\019_Taxiway_Intxn_Marking</t>
  </si>
  <si>
    <t>GC020-000</t>
  </si>
  <si>
    <t>Taxiway_Holding_Position</t>
  </si>
  <si>
    <t>A taxiway holding position painted across a taxiway (as defined by DO-272B); it is located at the outer edge of the painted ground marking away from the corresponding runway.</t>
  </si>
  <si>
    <t>G_Aero_Info\C_AMDB\020_Taxiway_Holding_Position</t>
  </si>
  <si>
    <t>GC021-000</t>
  </si>
  <si>
    <t>Frequency_Area</t>
  </si>
  <si>
    <t>The designated part of a surface movement area where a specific frequency is required by air traffic control or ground control (as defined by DO-272B).</t>
  </si>
  <si>
    <t>G_Aero_Info\C_AMDB\021_Frequency_Area</t>
  </si>
  <si>
    <t>GC022-000</t>
  </si>
  <si>
    <t>Apron_Element</t>
  </si>
  <si>
    <t>The remaining parts of a defined apron area that are not covered by Parking Stand Area features or Taxiway Element features (as defined by DO-272B).</t>
  </si>
  <si>
    <t>G_Aero_Info\C_AMDB\022_Apron_Element</t>
  </si>
  <si>
    <t>GC023-000</t>
  </si>
  <si>
    <t>Stand_Guidance_Line</t>
  </si>
  <si>
    <t>A guidance line on a designated area on an apron intended to be used for parking an aircraft (as defined by DO-272B).</t>
  </si>
  <si>
    <t>G_Aero_Info\C_AMDB\023_Stand_Guidance_Line</t>
  </si>
  <si>
    <t>GC024-000</t>
  </si>
  <si>
    <t>Parking_Stand_Location</t>
  </si>
  <si>
    <t>The location of an aircraft stand (as defined by DO-272B). There may be multiple Parking_Stand_Locations within one Parking_Stand_Area.</t>
  </si>
  <si>
    <t>G_Aero_Info\C_AMDB\024_Parking_Stand_Location</t>
  </si>
  <si>
    <t>GC025-000</t>
  </si>
  <si>
    <t>Parking_Stand_Area</t>
  </si>
  <si>
    <t>A designated area on an apron intended to be used for parking an aircraft (as defined by DO-272B).</t>
  </si>
  <si>
    <t>G_Aero_Info\C_AMDB\025_Parking_Stand_Area</t>
  </si>
  <si>
    <t>GC026-000</t>
  </si>
  <si>
    <t>Deicing_Area</t>
  </si>
  <si>
    <t>An area comprising an inner area for the parking of an airplane to receive de-icing treatment and an outer area for the maneuvering of two or more mobile de-icing equipment (as defined by DO-272B).</t>
  </si>
  <si>
    <t>G_Aero_Info\C_AMDB\026_Deicing_Area</t>
  </si>
  <si>
    <t>GC027-000</t>
  </si>
  <si>
    <t>Service_Road</t>
  </si>
  <si>
    <t>The part of an aerodrome surface used by service vehicles (as defined by DO-272B).</t>
  </si>
  <si>
    <t>G_Aero_Info\C_AMDB\027_Service_Road</t>
  </si>
  <si>
    <t>GC028-000</t>
  </si>
  <si>
    <t>Aerodrome_Ref_Point</t>
  </si>
  <si>
    <t>The designated geographical location of an aerodrome (as defined by DO-272B).</t>
  </si>
  <si>
    <t>G_Aero_Info\C_AMDB\028_Aerodrome_Ref_Point</t>
  </si>
  <si>
    <t>GC029-000</t>
  </si>
  <si>
    <t>Vertical_Poly_Structure</t>
  </si>
  <si>
    <t>The footprint of a structure (typically building) whose maximum height exceeds the defined vertical limit as defined in section 3.11 of the DO-272B specification and that is located within an area that extends from the edges of the runways to 90 m from the runway centerline.</t>
  </si>
  <si>
    <t>G_Aero_Info\C_AMDB\029_Vertical_Poly_Structure</t>
  </si>
  <si>
    <t>GC030-000</t>
  </si>
  <si>
    <t>Vertical_Point_Structure</t>
  </si>
  <si>
    <t>The location of a structure (typically tower) whose maximum height exceeds the defined vertical limit as defined in section 3.11 of the DO-272B specification and that is located within an area that extends from the edges of the runways to 90 m from the runway centerline.</t>
  </si>
  <si>
    <t>G_Aero_Info\C_AMDB\030_Vertical_Point_Structure</t>
  </si>
  <si>
    <t>GC031-000</t>
  </si>
  <si>
    <t>Vertical_Line_Structure</t>
  </si>
  <si>
    <t>The centerline of a structure (typically powerline) whose maximum height exceeds the defined vertical limit as defined in section 3.11 of the DO-272B specification and that is located within an area that extends from the edges of the runways to 90 m from the runway centerline.</t>
  </si>
  <si>
    <t>G_Aero_Info\C_AMDB\031_Vertical_Line_Structure</t>
  </si>
  <si>
    <t>GC032-000</t>
  </si>
  <si>
    <t>Construction_Area</t>
  </si>
  <si>
    <t>A part of a movement area (e.g. a runway, taxiway, apron, parking stand, de-icing area) under construction (as defined by DO-272B).</t>
  </si>
  <si>
    <t>G_Aero_Info\C_AMDB\032_Construction_Area</t>
  </si>
  <si>
    <t>GC033-000</t>
  </si>
  <si>
    <t>A water body close to the movement zone (as defined by DO-272B)</t>
  </si>
  <si>
    <t>G_Aero_Info\C_AMDB\033_Water</t>
  </si>
  <si>
    <t>GC034-000</t>
  </si>
  <si>
    <t>Hotspot</t>
  </si>
  <si>
    <t>A location on an aerodrome movement area with a history or potential risk of collision or runway incursion and where heightened attention by pilots/drivers is necessary (as defined by DO-272B)</t>
  </si>
  <si>
    <t>G_Aero_Info\C_AMDB\034_Hotspot</t>
  </si>
  <si>
    <t>GC035-000</t>
  </si>
  <si>
    <t>Aerodrome_Surface_Light</t>
  </si>
  <si>
    <t>Individual airport surface lights that are located within a buffer 90 m from runway centerline and 50 m from edge of aircraft movement zone (as defined by DO-272B).</t>
  </si>
  <si>
    <t>G_Aero_Info\C_AMDB\035_Aerodrome_Surface_Light</t>
  </si>
  <si>
    <t>IA010-000</t>
  </si>
  <si>
    <t>Map_Boundary</t>
  </si>
  <si>
    <t>A line which encloses all water, streets, parcels and buildings. (Retired; this cartographic object appears to no longer be in use (if ever)</t>
  </si>
  <si>
    <t>I_Cadastral\A_Area\010_Map_Boundary</t>
  </si>
  <si>
    <t>IA040-000</t>
  </si>
  <si>
    <t>Parcel</t>
  </si>
  <si>
    <t>Land use and/or land property.</t>
  </si>
  <si>
    <t>I_Cadastral\A_Area\040_Parcel</t>
  </si>
  <si>
    <t>IA041-000</t>
  </si>
  <si>
    <t>Tract</t>
  </si>
  <si>
    <t>A region of land with definite boundaries, especially one intended for development.</t>
  </si>
  <si>
    <t>I_Cadastral\A_Area\041_Tract</t>
  </si>
  <si>
    <t>IA050-000</t>
  </si>
  <si>
    <t>Cadastral_Const</t>
  </si>
  <si>
    <t>Constructions with unique characteristics. (Retired; Ill-defined and apparently not in use)</t>
  </si>
  <si>
    <t>I_Cadastral\A_Area\050_Cadastral_Const</t>
  </si>
  <si>
    <t>ID010-000</t>
  </si>
  <si>
    <t>Cadastral_Point</t>
  </si>
  <si>
    <t>A reference point used for a cadastral map orientation.</t>
  </si>
  <si>
    <t>I_Cadastral\D_Ref_Point\010_Cadastral_Point</t>
  </si>
  <si>
    <t>ID020-000</t>
  </si>
  <si>
    <t>Fiducial_Point</t>
  </si>
  <si>
    <t>Used for topographic survey. (Retired; Ill-defined and apparently not in use)</t>
  </si>
  <si>
    <t>I_Cadastral\D_Ref_Point\020_Fiducial_Point</t>
  </si>
  <si>
    <t>IE010-000</t>
  </si>
  <si>
    <t>Map_Sheet</t>
  </si>
  <si>
    <t>Contains drawing frames and map parameters. (Retired; Ill-defined and apparently not in use)</t>
  </si>
  <si>
    <t>I_Cadastral\E_Special_Char\010_Map_Sheet</t>
  </si>
  <si>
    <t>IE020-000</t>
  </si>
  <si>
    <t>Misc</t>
  </si>
  <si>
    <t>Contains topographical details and other information. (Retired; Ill-defined and apparently not in use)</t>
  </si>
  <si>
    <t>I_Cadastral\E_Special_Char\020_Misc</t>
  </si>
  <si>
    <t>IE040-000</t>
  </si>
  <si>
    <t>Map_Info</t>
  </si>
  <si>
    <t>Contains auxiliary information about each map. (Retired; Ill-defined and apparently not in use)</t>
  </si>
  <si>
    <t>I_Cadastral\E_Special_Char\040_Map_Info</t>
  </si>
  <si>
    <t>KB025-000</t>
  </si>
  <si>
    <t>Agricultural_Zone</t>
  </si>
  <si>
    <t>A global land-use zone based on a predominant form and type of plant cultivation.</t>
  </si>
  <si>
    <t>K_FDD\B_FDD\025_Agricultural_Zone</t>
  </si>
  <si>
    <t>KC050-000</t>
  </si>
  <si>
    <t>Time_Zone</t>
  </si>
  <si>
    <t>Any of the 24 longitudinal regions of the Earth, each occupying 15 arc degrees and having a mean solar time one hour greater than that of the neighboring region to its west.</t>
  </si>
  <si>
    <t>K_FDD\C_FDD\050_Time_Zone</t>
  </si>
  <si>
    <t>KD025-000</t>
  </si>
  <si>
    <t>A recognizable feature in the terrain that is subject to defined protective rules (for example: world cultural heritage).</t>
  </si>
  <si>
    <t>K_FDD\D_FDD\025_Monument</t>
  </si>
  <si>
    <t>KE050-000</t>
  </si>
  <si>
    <t>Land_Reclamation_Area</t>
  </si>
  <si>
    <t>An area of new land that has been reclaimed from an area previously covered by water.</t>
  </si>
  <si>
    <t>K_FDD\E_FDD\050_Land_Reclamation_Area</t>
  </si>
  <si>
    <t>KF000-000</t>
  </si>
  <si>
    <t>Transport_Link</t>
  </si>
  <si>
    <t>A route that links two locations and is served by regularly scheduled transport.</t>
  </si>
  <si>
    <t>K_FDD\F_FDD\000_Transport_Link</t>
  </si>
  <si>
    <t>MA000-000</t>
  </si>
  <si>
    <t>Solid_Rock</t>
  </si>
  <si>
    <t>An area consisting of an aggregate of one or more minerals and/or solid organic material.</t>
  </si>
  <si>
    <t>M_FDD\A_FDD\000_Solid_Rock</t>
  </si>
  <si>
    <t>MA020-000</t>
  </si>
  <si>
    <t>Erosion_Area</t>
  </si>
  <si>
    <t>An area of the land where removal processes have caused an areal degradation of soil particles (for example: erosion by the action of the wind) or to a linear degradation with deep erosion of different grades (for example: erosion by the action of moving water).</t>
  </si>
  <si>
    <t>M_FDD\A_FDD\020_Erosion_Area</t>
  </si>
  <si>
    <t>MA030-000</t>
  </si>
  <si>
    <t>Geologic_Mass_Movement</t>
  </si>
  <si>
    <t>An area within which dislodgment and downslope transport of soil and/or bedrock under the influence of gravity has occurred.</t>
  </si>
  <si>
    <t>M_FDD\A_FDD\030_Geologic_Mass_Movement</t>
  </si>
  <si>
    <t>MA040-000</t>
  </si>
  <si>
    <t>Geologic_Structure_Line</t>
  </si>
  <si>
    <t>A line along which large scale, linear tectonic manifestations have occurred.</t>
  </si>
  <si>
    <t>M_FDD\A_FDD\040_Geologic_Structure_Line</t>
  </si>
  <si>
    <t>MA050-000</t>
  </si>
  <si>
    <t>Soil_Salinization_Area</t>
  </si>
  <si>
    <t>An area within which the upper soil horizons have become enriched in salts to a sufficient degree to result in loss in agricultural productivity.</t>
  </si>
  <si>
    <t>M_FDD\A_FDD\050_Soil_Salinization_Area</t>
  </si>
  <si>
    <t>MA060-000</t>
  </si>
  <si>
    <t>Mineral_Occurrence_Area</t>
  </si>
  <si>
    <t>An area, place, site or deposit, of which little may be known, except that specific minerals or rocks, that are considered to be valuable or that are of scientific or technical interest, have been identified and recorded.</t>
  </si>
  <si>
    <t>M_FDD\A_FDD\060_Mineral_Occurrence_Area</t>
  </si>
  <si>
    <t>MA070-000</t>
  </si>
  <si>
    <t>Hydrogeologic_Area</t>
  </si>
  <si>
    <t>An area of similar hydrogeologic properties and conditions of groundwater.</t>
  </si>
  <si>
    <t>M_FDD\A_FDD\070_Hydrogeologic_Area</t>
  </si>
  <si>
    <t>MB000-000</t>
  </si>
  <si>
    <t>Epicentre</t>
  </si>
  <si>
    <t>The point on the surface of the Earth that is directly above the focus of an earthquake.</t>
  </si>
  <si>
    <t>M_FDD\B_FDD\000_Epicentre</t>
  </si>
  <si>
    <t>MB010-000</t>
  </si>
  <si>
    <t>Earthquake_Damage_Area</t>
  </si>
  <si>
    <t>An area of the surface of the Earth that has been damaged by an earthquake.</t>
  </si>
  <si>
    <t>M_FDD\B_FDD\010_Earthquake_Damage_Area</t>
  </si>
  <si>
    <t>MC000-000</t>
  </si>
  <si>
    <t>Geologic_Mapping_Unit</t>
  </si>
  <si>
    <t>An area of the surface of the Earth that shares a common characterization of its tectono-, litho-, bio-, and/or chronostratigraphic properties.</t>
  </si>
  <si>
    <t>M_FDD\C_FDD\000_Geologic_Mapping_Unit</t>
  </si>
  <si>
    <t>MC010-000</t>
  </si>
  <si>
    <t>Hydrogeologic_Mapping_Unit</t>
  </si>
  <si>
    <t>An area of the surface of the Earth that shares a common characterization of its substratum (bodies of soil, rock and unconsolidated rocks) and its groundwater related properties.</t>
  </si>
  <si>
    <t>M_FDD\C_FDD\010_Hydrogeologic_Mapping_Unit</t>
  </si>
  <si>
    <t>NA010-000</t>
  </si>
  <si>
    <t>Terrain_Relief</t>
  </si>
  <si>
    <t>An area of the surface of the Earth characterized by a common surface form or set of related surface forms.</t>
  </si>
  <si>
    <t>N_FDD\A_FDD\010_Terrain_Relief</t>
  </si>
  <si>
    <t>NA020-000</t>
  </si>
  <si>
    <t>Vegetation_Zone</t>
  </si>
  <si>
    <t>A global zone based on a predominant plant community.</t>
  </si>
  <si>
    <t>N_FDD\A_FDD\020_Vegetation_Zone</t>
  </si>
  <si>
    <t>NA030-000</t>
  </si>
  <si>
    <t>Tree_Limit</t>
  </si>
  <si>
    <t>The point in altitude and/or latitude beyond which trees can no longer grow.</t>
  </si>
  <si>
    <t>N_FDD\A_FDD\030_Tree_Limit</t>
  </si>
  <si>
    <t>NA035-000</t>
  </si>
  <si>
    <t>Settlement_Limit</t>
  </si>
  <si>
    <t>A boundary or limit beyond which human settlement is either not possible or not appropriate for climatic or topographic reasons.</t>
  </si>
  <si>
    <t>N_FDD\A_FDD\035_Settlement_Limit</t>
  </si>
  <si>
    <t>NA040-000</t>
  </si>
  <si>
    <t>Cultivation_Limit</t>
  </si>
  <si>
    <t>A boundary or limit beyond which plant cultivation is not possible.</t>
  </si>
  <si>
    <t>N_FDD\A_FDD\040_Cultivation_Limit</t>
  </si>
  <si>
    <t>NA170-000</t>
  </si>
  <si>
    <t>Drainage_Basin</t>
  </si>
  <si>
    <t>An area of the terrain sharing a common outflow for surface water runoff.</t>
  </si>
  <si>
    <t>N_FDD\A_FDD\170_Drainage_Basin</t>
  </si>
  <si>
    <t>NC000-000</t>
  </si>
  <si>
    <t>Desertification_Area</t>
  </si>
  <si>
    <t>An area of the terrain that is subject to a persisting change of landscape towards that of desert that is typically caused by agriculture together with over-use of the ecosystem.</t>
  </si>
  <si>
    <t>N_FDD\C_FDD\000_Desertification_Area</t>
  </si>
  <si>
    <t>NC005-000</t>
  </si>
  <si>
    <t>Dry_Area</t>
  </si>
  <si>
    <t>An area of the terrain where the rate of evaporation is exceeds the rate of precipitation.</t>
  </si>
  <si>
    <t>N_FDD\C_FDD\005_Dry_Area</t>
  </si>
  <si>
    <t>NC015-000</t>
  </si>
  <si>
    <t>Aggradation_Area</t>
  </si>
  <si>
    <t>An area within which lakes are disappearing due to either the diversion of inflowing water or the desposition of (typically fine) sediments and plant colonization.</t>
  </si>
  <si>
    <t>N_FDD\C_FDD\015_Aggradation_Area</t>
  </si>
  <si>
    <t>NC030-000</t>
  </si>
  <si>
    <t>Ecological_Crisis_Area</t>
  </si>
  <si>
    <t>An area subject to extreme incidents that stress and may irreversibly injure the environment</t>
  </si>
  <si>
    <t>N_FDD\C_FDD\030_Ecological_Crisis_Area</t>
  </si>
  <si>
    <t>NC035-000</t>
  </si>
  <si>
    <t>Contaminated_Site</t>
  </si>
  <si>
    <t>An area within which refuse has been dumped on land or sunk (legally or illegally) in the sea and has resulted in environmental endangerment.</t>
  </si>
  <si>
    <t>N_FDD\C_FDD\035_Contaminated_Site</t>
  </si>
  <si>
    <t>ND000-000</t>
  </si>
  <si>
    <t>Infection_Area</t>
  </si>
  <si>
    <t>An area within which a fast-spreading infectious disease occurs.</t>
  </si>
  <si>
    <t>N_FDD\D_FDD\000_Infection_Area</t>
  </si>
  <si>
    <t>ND005-000</t>
  </si>
  <si>
    <t>Hazardous_Biome_Zone</t>
  </si>
  <si>
    <t>An area of the surface of the Earth where animals and/or plants may endanger or kill human life directly (by attack) or indirectly (by poison).</t>
  </si>
  <si>
    <t>N_FDD\D_FDD\005_Hazardous_Biome_Zone</t>
  </si>
  <si>
    <t>NF010-000</t>
  </si>
  <si>
    <t>Precipitation_Zone</t>
  </si>
  <si>
    <t>An area of the surface of the Earth that shares a common characterization of its level of precipitation.</t>
  </si>
  <si>
    <t>N_FDD\F_FDD\010_Precipitation_Zone</t>
  </si>
  <si>
    <t>NF020-000</t>
  </si>
  <si>
    <t>Atmospheric_Humidity_Zone</t>
  </si>
  <si>
    <t>An area of the surface of the Earth that shares a common characterization of its level of atmospheric humidity.</t>
  </si>
  <si>
    <t>N_FDD\F_FDD\020_Atmospheric_Humidity_Zone</t>
  </si>
  <si>
    <t>NF030-000</t>
  </si>
  <si>
    <t>Solar_Irradiance_Zone</t>
  </si>
  <si>
    <t>An area of the surface of the Earth that shares a common characterization of its solar irradiance.</t>
  </si>
  <si>
    <t>N_FDD\F_FDD\030_Solar_Irradiance_Zone</t>
  </si>
  <si>
    <t>NF040-000</t>
  </si>
  <si>
    <t>Frost_and_or_Snow_Zone</t>
  </si>
  <si>
    <t>An area of the surface of the Earth that shares a common characterization of its annual period of frost and/or snow.</t>
  </si>
  <si>
    <t>N_FDD\F_FDD\040_Frost_and_or_Snow_Zone</t>
  </si>
  <si>
    <t>NF045-000</t>
  </si>
  <si>
    <t>Fog_Zone</t>
  </si>
  <si>
    <t>An area of the surface of the Earth that shares a common characterization of its annual period of fog.</t>
  </si>
  <si>
    <t>N_FDD\F_FDD\045_Fog_Zone</t>
  </si>
  <si>
    <t>NG000-000</t>
  </si>
  <si>
    <t>Global_Wind_Belt</t>
  </si>
  <si>
    <t>A major area of the surface of the Earth that shares a common characterization of its permanent wind circulation.</t>
  </si>
  <si>
    <t>N_FDD\G_FDD\000_Global_Wind_Belt</t>
  </si>
  <si>
    <t>NG010-000</t>
  </si>
  <si>
    <t>Regional_Wind_Zone</t>
  </si>
  <si>
    <t>A regional area of the surface of the Earth that shares a common characterization of its wind circulation.</t>
  </si>
  <si>
    <t>N_FDD\G_FDD\010_Regional_Wind_Zone</t>
  </si>
  <si>
    <t>NG015-000</t>
  </si>
  <si>
    <t>Atmospheric_Pressure_Zone</t>
  </si>
  <si>
    <t>An area of the surface of the Earth that shares a common characterization of its atmospheric pressure.</t>
  </si>
  <si>
    <t>N_FDD\G_FDD\015_Atmospheric_Pressure_Zone</t>
  </si>
  <si>
    <t>NG025-000</t>
  </si>
  <si>
    <t>Extreme_Wind_Zone</t>
  </si>
  <si>
    <t>An area of the surface of the Earth that shares a common characterization of its wind circulation as having more or less regular (periodic, partly episodic) occurring strong winds with speeds more than 75 kilometres per hour (9 Beaufort or greater).</t>
  </si>
  <si>
    <t>N_FDD\G_FDD\025_Extreme_Wind_Zone</t>
  </si>
  <si>
    <t>NH180-000</t>
  </si>
  <si>
    <t>Ocean_Region</t>
  </si>
  <si>
    <t>One of the three large regions of the world-wide ocean, each with associated sub- and marginal areas and subject to an independent flow-regime.</t>
  </si>
  <si>
    <t>N_FDD\H_FDD\180_Ocean_Region</t>
  </si>
  <si>
    <t>SA010-000</t>
  </si>
  <si>
    <t>Common_Open_Water</t>
  </si>
  <si>
    <t>An area containing any surface water that is flowing or free standing such as lakes, rivers, oceans, reservoirs, etc.</t>
  </si>
  <si>
    <t>S_Special_Use\A_Terrain_Anal_Dataset\010_Common_Open_Water</t>
  </si>
  <si>
    <t>SA020-000</t>
  </si>
  <si>
    <t>Disturbed_Soil</t>
  </si>
  <si>
    <t>An area that has been so disturbed by human activity that no single soil type can be accurately identified. These areas may include built-up areas, strip mines, landfills, railroad yards, etc.</t>
  </si>
  <si>
    <t>S_Special_Use\A_Terrain_Anal_Dataset\020_Disturbed_Soil</t>
  </si>
  <si>
    <t>SA030-000</t>
  </si>
  <si>
    <t>Exposed_Bedrock</t>
  </si>
  <si>
    <t>Areas that contain no or little soil (less than 10%) containing bare rock or other extrusive material such as lava.</t>
  </si>
  <si>
    <t>S_Special_Use\A_Terrain_Anal_Dataset\030_Exposed_Bedrock</t>
  </si>
  <si>
    <t>SA040-000</t>
  </si>
  <si>
    <t>Permanent_Snowfield</t>
  </si>
  <si>
    <t>An area permanently covered by snow or ice that covers a land mass, such as glaciers and snowfields.</t>
  </si>
  <si>
    <t>S_Special_Use\A_Terrain_Anal_Dataset\040_Permanent_Snowfield</t>
  </si>
  <si>
    <t>SA050-000</t>
  </si>
  <si>
    <t>Slope_Polygon</t>
  </si>
  <si>
    <t>A region where the terrain slope is within a set range of values.</t>
  </si>
  <si>
    <t>S_Special_Use\A_Terrain_Anal_Dataset\050_Slope_Polygon</t>
  </si>
  <si>
    <t>SA060-000</t>
  </si>
  <si>
    <t>Covered_Drainage</t>
  </si>
  <si>
    <t>A natural watercourse or man-made waterway that is covered preventing its observation or</t>
  </si>
  <si>
    <t>S_Special_Use\A_Terrain_Anal_Dataset\060_Covered_Drainage</t>
  </si>
  <si>
    <t>SA070-000</t>
  </si>
  <si>
    <t>Seismic_Activity_Area</t>
  </si>
  <si>
    <t>An area where earthquakes or other seismic events routinely occur.</t>
  </si>
  <si>
    <t>S_Special_Use\A_Terrain_Anal_Dataset\070_Seismic_Activity_Area</t>
  </si>
  <si>
    <t>SU001-000</t>
  </si>
  <si>
    <t>Military_Base</t>
  </si>
  <si>
    <t>A center of operations for a military organization.</t>
  </si>
  <si>
    <t>S_Special_Use\U_Dev_Dataset\001_Military_Base</t>
  </si>
  <si>
    <t>SU002-000</t>
  </si>
  <si>
    <t>An underground, metropolitan electric railway or the tunnel through which it travels. (Revised concept but same code that is focused on the railway alone).</t>
  </si>
  <si>
    <t>S_Special_Use\U_Dev_Dataset\002_Subway</t>
  </si>
  <si>
    <t>SU003-000</t>
  </si>
  <si>
    <t>Port_Facility</t>
  </si>
  <si>
    <t>A building or section of building that is established to serve a particular purpose for water</t>
  </si>
  <si>
    <t>S_Special_Use\U_Dev_Dataset\003_Port_Facility</t>
  </si>
  <si>
    <t>UA001-000</t>
  </si>
  <si>
    <t>Aperture</t>
  </si>
  <si>
    <t>An opening and/or hole in an OBJECT, especially a STRUCTURE; an aperture.</t>
  </si>
  <si>
    <t>U_EDD\A_Abstract_Object\001_Aperture</t>
  </si>
  <si>
    <t>UA002-000</t>
  </si>
  <si>
    <t>Component</t>
  </si>
  <si>
    <t>An OBJECT that is a constituent part of another (aggregate) OBJECT but, by itself, does not fulfill the function of the aggregate; a component.</t>
  </si>
  <si>
    <t>U_EDD\A_Abstract_Object\002_Component</t>
  </si>
  <si>
    <t>UA003-000</t>
  </si>
  <si>
    <t>Datum</t>
  </si>
  <si>
    <t>An OBJECT used as a reference for defining spatial aspects of other OBJECTs; a datum.</t>
  </si>
  <si>
    <t>U_EDD\A_Abstract_Object\003_Datum</t>
  </si>
  <si>
    <t>UA004-000</t>
  </si>
  <si>
    <t>Furniture</t>
  </si>
  <si>
    <t>Movable, functional OBJECTs, whether useful or ornamental, usually found in a BUILDING; furniture [SOED, "furniture", 6].</t>
  </si>
  <si>
    <t>U_EDD\A_Abstract_Object\004_Furniture</t>
  </si>
  <si>
    <t>UA005-000</t>
  </si>
  <si>
    <t>Man_Made_Object</t>
  </si>
  <si>
    <t>An OBJECT made by HUMANs; a man-made object.</t>
  </si>
  <si>
    <t>U_EDD\A_Abstract_Object\005_Man_Made_Object</t>
  </si>
  <si>
    <t>UA006-000</t>
  </si>
  <si>
    <t>Marine_Object</t>
  </si>
  <si>
    <t>An OBJECT relating to or characteristic of VESSELs, shipping, sailors, or navigation on a WATERBODY; a marine object [SOED, "marine", B.2].</t>
  </si>
  <si>
    <t>U_EDD\A_Abstract_Object\006_Marine_Object</t>
  </si>
  <si>
    <t>UA007-000</t>
  </si>
  <si>
    <t>Mesh</t>
  </si>
  <si>
    <t>An abstract OBJECT consisting of three related NON_EMPTY_SETs: a MESH_NODE_SET, a MESH_EDGE_SET, and a MESH_FACE_SET; a mesh.</t>
  </si>
  <si>
    <t>U_EDD\A_Abstract_Object\007_Mesh</t>
  </si>
  <si>
    <t>UA008-000</t>
  </si>
  <si>
    <t>Non_Empty_Set</t>
  </si>
  <si>
    <t>A SET with at least one member; a non-empty set.</t>
  </si>
  <si>
    <t>U_EDD\A_Abstract_Object\008_Non_Empty_Set</t>
  </si>
  <si>
    <t>UA009-000</t>
  </si>
  <si>
    <t>Object</t>
  </si>
  <si>
    <t>A person, place, thing, or concept; an object.</t>
  </si>
  <si>
    <t>U_EDD\A_Abstract_Object\009_Object</t>
  </si>
  <si>
    <t>UA010-000</t>
  </si>
  <si>
    <t>Object_Set</t>
  </si>
  <si>
    <t>A NON_EMPTY_SET of OBJECTs.</t>
  </si>
  <si>
    <t>U_EDD\A_Abstract_Object\010_Object_Set</t>
  </si>
  <si>
    <t>UA011-000</t>
  </si>
  <si>
    <t>Related_Object_Set</t>
  </si>
  <si>
    <t>A NON_EMPTY_SET of related OBJECTs.</t>
  </si>
  <si>
    <t>U_EDD\A_Abstract_Object\011_Related_Object_Set</t>
  </si>
  <si>
    <t>UA012-000</t>
  </si>
  <si>
    <t>Set</t>
  </si>
  <si>
    <t>A possibly empty collection of distinct OBJECTs; a set.</t>
  </si>
  <si>
    <t>U_EDD\A_Abstract_Object\012_Set</t>
  </si>
  <si>
    <t>UA013-000</t>
  </si>
  <si>
    <t>System</t>
  </si>
  <si>
    <t>A NON_EMPTY_SET of OBJECTs arranged or organized for a special purpose and functioning together as a whole; a system [SOED, "system", 3].</t>
  </si>
  <si>
    <t>U_EDD\A_Abstract_Object\013_System</t>
  </si>
  <si>
    <t>UA014-000</t>
  </si>
  <si>
    <t>Terrain_Surface_Object</t>
  </si>
  <si>
    <t>An OBJECT located on the TERRAIN. EXAMPLE Man-made STRUCTURE.</t>
  </si>
  <si>
    <t>U_EDD\A_Abstract_Object\014_Terrain_Surface_Object</t>
  </si>
  <si>
    <t>UA015-000</t>
  </si>
  <si>
    <t>Time_Analysis_Base_Set</t>
  </si>
  <si>
    <t>A NON_EMPTY_SET of OBJECTs with EDCS Attributes that are analyzed at a common base time.</t>
  </si>
  <si>
    <t>U_EDD\A_Abstract_Object\015_Time_Analysis_Base_Set</t>
  </si>
  <si>
    <t>UA016-000</t>
  </si>
  <si>
    <t>Time_Forecast_Tau_Set</t>
  </si>
  <si>
    <t>A NON_EMPTY_SET of OBJECTs with EDCS Attributes that are forecasted at a time offset from a TIME_ANALYSIS_BASE_SET time.</t>
  </si>
  <si>
    <t>U_EDD\A_Abstract_Object\016_Time_Forecast_Tau_Set</t>
  </si>
  <si>
    <t>UC001-000</t>
  </si>
  <si>
    <t>Flagpole</t>
  </si>
  <si>
    <t>A POLE on which a flag is raised; a flagstaff or flagpole.</t>
  </si>
  <si>
    <t>U_EDD\C_Administration\001_Flagpole</t>
  </si>
  <si>
    <t>UD001-000</t>
  </si>
  <si>
    <t>Haystack</t>
  </si>
  <si>
    <t>A regular pile of hay built in the open air; a haystack.</t>
  </si>
  <si>
    <t>U_EDD\D_Agriculture\001_Haystack</t>
  </si>
  <si>
    <t>UD002-000</t>
  </si>
  <si>
    <t>Mixed_Urban_Region</t>
  </si>
  <si>
    <t>A TERRAIN_SURFACE_REGION containing STRUCTUREs in combination with undeveloped and/or agricultural TRACTs; a mixed urban region.</t>
  </si>
  <si>
    <t>U_EDD\D_Agriculture\002_Mixed_Urban_Region</t>
  </si>
  <si>
    <t>UF000-000</t>
  </si>
  <si>
    <t>Aperture_Generic</t>
  </si>
  <si>
    <t>A generic APERTURE</t>
  </si>
  <si>
    <t>U_EDD\F_Aperture\000_Aperture_Generic</t>
  </si>
  <si>
    <t>UF001-000</t>
  </si>
  <si>
    <t>Breach_Hole</t>
  </si>
  <si>
    <t>A rough opening in a WALL for HUMAN entrance or egress, usually created by hand emplaced demolition charges or projectile munitions, typically about 60 centimetres in diameter; a wall breach.</t>
  </si>
  <si>
    <t>U_EDD\F_Aperture\001_Breach_Hole</t>
  </si>
  <si>
    <t>UF002-000</t>
  </si>
  <si>
    <t>Building_Component_Entrance_Exit</t>
  </si>
  <si>
    <t>An ENTRANCE_AND_OR_EXIT between BUILDING_COMPONENTs, such as a doorway or a passage to a STAIR landing.</t>
  </si>
  <si>
    <t>U_EDD\F_Aperture\002_Building_Component_Entrance_Exit</t>
  </si>
  <si>
    <t>UF003-000</t>
  </si>
  <si>
    <t>Door</t>
  </si>
  <si>
    <t>A hinged or sliding BARRIER to part of a STRUCTURE or VEHICLE, constructed of wood or other MATERIAL; a door.</t>
  </si>
  <si>
    <t>U_EDD\F_Aperture\003_Door</t>
  </si>
  <si>
    <t>UF004-000</t>
  </si>
  <si>
    <t>A GATE, HALLWAY or DOOR used for ingress or egress or both.</t>
  </si>
  <si>
    <t>U_EDD\F_Aperture\004_Entrance_or_Exit</t>
  </si>
  <si>
    <t>U_EDD\F_Aperture\005_Wall_Opening</t>
  </si>
  <si>
    <t>UF005-000</t>
  </si>
  <si>
    <t>Wall_Opening_Generic</t>
  </si>
  <si>
    <t>An uncovered opening in an WALL to support the passage of MATERIALs or visibility into an adjoining ROOM, including the space above a partial-height WALL.</t>
  </si>
  <si>
    <t>UF005-001</t>
  </si>
  <si>
    <t>Exterior_Wall_Opening</t>
  </si>
  <si>
    <t>An uncovered opening in an EXTERIOR_WALL to support the passage of MATERIALs or visibility into an adjoining ROOM, including the space above a partial-height WALL.</t>
  </si>
  <si>
    <t>UF005-002</t>
  </si>
  <si>
    <t>Interior_Wall_Opening</t>
  </si>
  <si>
    <t>An uncovered opening in an INTERIOR_WALL to support the passage of MATERIALs or visibility into an adjoining ROOM, including the space above a partial-height WALL.</t>
  </si>
  <si>
    <t>U_EDD\F_Aperture\006_Partition_Opening</t>
  </si>
  <si>
    <t>UF006-000</t>
  </si>
  <si>
    <t>Partition_Opening_Generic</t>
  </si>
  <si>
    <t>An opening in a partition, e.g., BREACH_HOLE, DOOR, WINDOW or TRAP_DOOR.</t>
  </si>
  <si>
    <t>UF006-001</t>
  </si>
  <si>
    <t>Horizontal_Partition_Opening</t>
  </si>
  <si>
    <t>An opening in a horizontal partition, e.g., SKYLIGHT or TRAP_DOOR.</t>
  </si>
  <si>
    <t>UF006-002</t>
  </si>
  <si>
    <t>Vertical_Partition_Opening</t>
  </si>
  <si>
    <t>An opening in a vertical partition, e.g., WINDOW, DOOR.</t>
  </si>
  <si>
    <t>UF007-000</t>
  </si>
  <si>
    <t>Trap_Door</t>
  </si>
  <si>
    <t>A DOOR flush with the surface, in a FLOOR, ROOF, or CEILING; a trap door.</t>
  </si>
  <si>
    <t>U_EDD\F_Aperture\007_Trap_Door</t>
  </si>
  <si>
    <t>UF008-000</t>
  </si>
  <si>
    <t>Wall_Loophole</t>
  </si>
  <si>
    <t>A small opening in a WALL for observation, weapons firing, or to allow hand grenades to be thrown into a defended STRUCTURE, typically about 20 centimetres in diameter; a loophole.</t>
  </si>
  <si>
    <t>U_EDD\F_Aperture\008_Wall_Loophole</t>
  </si>
  <si>
    <t>UF009-000</t>
  </si>
  <si>
    <t>Window</t>
  </si>
  <si>
    <t>An opening in a WALL or the side of a BUILDING, VEHICLE, or other STRUCTURE, to admit light or AIR or both, and to afford a view of what is outside or inside; a window.</t>
  </si>
  <si>
    <t>U_EDD\F_Aperture\009_Window</t>
  </si>
  <si>
    <t>UF010-000</t>
  </si>
  <si>
    <t>Ventilation_Opening</t>
  </si>
  <si>
    <t>An opening, generally covered, into a VENTILATION_DUCT or VENTILATION_SHAFT, which may be large enough to admit a HUMAN.</t>
  </si>
  <si>
    <t>U_EDD\F_Aperture\010_Ventilation_Opening</t>
  </si>
  <si>
    <t>UG000-000</t>
  </si>
  <si>
    <t>Room_Generic</t>
  </si>
  <si>
    <t>A generic ROOM</t>
  </si>
  <si>
    <t>U_EDD\G_Room\000_Room_Generic</t>
  </si>
  <si>
    <t>UG001-000</t>
  </si>
  <si>
    <t>Anteroom</t>
  </si>
  <si>
    <t>A ROOM before, or forming an entrance to, another; an anteroom, foyer or entrance hall.</t>
  </si>
  <si>
    <t>U_EDD\G_Room\001_Anteroom</t>
  </si>
  <si>
    <t>UG002-000</t>
  </si>
  <si>
    <t>Atrium</t>
  </si>
  <si>
    <t>A usually skylit central court in a BUILDING rising through several FLOOR_LEVELs and surrounded by galleries at each FLOOR_LEVEL with ROOMS opening off; an atrium.</t>
  </si>
  <si>
    <t>U_EDD\G_Room\002_Atrium</t>
  </si>
  <si>
    <t>U_EDD\G_Room\003_Compartment_Room</t>
  </si>
  <si>
    <t>UG003-000</t>
  </si>
  <si>
    <t>Compartment_Room_Generic</t>
  </si>
  <si>
    <t>An interior or exterior enclosure for human occupancy or movement, e.g., ROOM, CATWALK or EXTERIOR_HALLWAY.</t>
  </si>
  <si>
    <t>UG003-001</t>
  </si>
  <si>
    <t>Compartment_Room_Exterior</t>
  </si>
  <si>
    <t>An exterior enclosure for human occupancy or movement, e.g. ROOM, COURTYARD or EXTERIOR_HALLWAY.</t>
  </si>
  <si>
    <t>UG003-002</t>
  </si>
  <si>
    <t>Compartment_Room_Interior</t>
  </si>
  <si>
    <t>An interior room.</t>
  </si>
  <si>
    <t>UG004-000</t>
  </si>
  <si>
    <t>Compartment_Shaft</t>
  </si>
  <si>
    <t>A vertical enclosure in a building which generally spans multiple levels, e.g., ELEVATOR_SHAFT, VENTILATION_SHAFT</t>
  </si>
  <si>
    <t>U_EDD\G_Room\004_Compartment_Shaft</t>
  </si>
  <si>
    <t>UG005-000</t>
  </si>
  <si>
    <t>Balcony</t>
  </si>
  <si>
    <t>A platform projecting from the WALL of a BUILDING or ROOM, supported by pillars or brackets, and enclosed by a balustrade; a balcony or deck.</t>
  </si>
  <si>
    <t>U_EDD\G_Room\005_Balcony</t>
  </si>
  <si>
    <t>UG006-000</t>
  </si>
  <si>
    <t>Catwalk</t>
  </si>
  <si>
    <t>A suspended narrow footway or platform; a catwalk.</t>
  </si>
  <si>
    <t>U_EDD\G_Room\006_Catwalk</t>
  </si>
  <si>
    <t>UG007-000</t>
  </si>
  <si>
    <t>Closet</t>
  </si>
  <si>
    <t>A small ROOM, belonging to or communicating with a larger ROOM; a closet.</t>
  </si>
  <si>
    <t>U_EDD\G_Room\007_Closet</t>
  </si>
  <si>
    <t>UG008-000</t>
  </si>
  <si>
    <t>Compartment_Duct</t>
  </si>
  <si>
    <t>A ventilation or other duct which may support human movement</t>
  </si>
  <si>
    <t>U_EDD\G_Room\008_Compartment_Duct</t>
  </si>
  <si>
    <t>UG009-000</t>
  </si>
  <si>
    <t>An open area surrounded by WALLs or BUILDINGs within the precincts of a large BUILDING, CASTLE, or BUILT_UP_REGION; a courtyard.</t>
  </si>
  <si>
    <t>U_EDD\G_Room\009_Courtyard</t>
  </si>
  <si>
    <t>UG010-000</t>
  </si>
  <si>
    <t>Elevator</t>
  </si>
  <si>
    <t>EQUIPMENT consisting of a platform, often enclosed, which is raised and lowered in a vertical shaft to transport PERSONNEL, EQUIPMENT or MATERIALs; an elevator.</t>
  </si>
  <si>
    <t>U_EDD\G_Room\010_Elevator</t>
  </si>
  <si>
    <t>UG011-000</t>
  </si>
  <si>
    <t>Elevator_Shaft</t>
  </si>
  <si>
    <t>A vertical passageway in a BUILDING used for ELEVATORs; an elevator shaft.</t>
  </si>
  <si>
    <t>U_EDD\G_Room\011_Elevator_Shaft</t>
  </si>
  <si>
    <t>UG012-000</t>
  </si>
  <si>
    <t>Escalator</t>
  </si>
  <si>
    <t>EQUIPMENT consisting of moving STAIR made on the endless-chain principle, so that the steps ascend or descend continuously, for carrying PERSONNEL up or down; an escalator.</t>
  </si>
  <si>
    <t>U_EDD\G_Room\012_Escalator</t>
  </si>
  <si>
    <t>UG013-000</t>
  </si>
  <si>
    <t>Exterior_Hallway</t>
  </si>
  <si>
    <t>A HALLWAY along the exterior of a BUILDING, often appearing as a long BALCONY.</t>
  </si>
  <si>
    <t>U_EDD\G_Room\013_Exterior_Hallway</t>
  </si>
  <si>
    <t>UG014-000</t>
  </si>
  <si>
    <t>Fire_Escape</t>
  </si>
  <si>
    <t>An exterior STRUCTURE or DEVICE, such as an outside STAIR attached to a BUILDING, erected for emergency exit in the event of fire; a fire escape.</t>
  </si>
  <si>
    <t>U_EDD\G_Room\014_Fire_Escape</t>
  </si>
  <si>
    <t>UG015-000</t>
  </si>
  <si>
    <t>Hallway</t>
  </si>
  <si>
    <t>An entrance-hall or passage serving as a ROUTE to various ROOMs in a BUILDING; a hallway or corridor.</t>
  </si>
  <si>
    <t>U_EDD\G_Room\015_Hallway</t>
  </si>
  <si>
    <t>UG016-000</t>
  </si>
  <si>
    <t>Pulpit</t>
  </si>
  <si>
    <t>A raised STRUCTURE consisting of an enclosed platform from which the preacher in a CHURCH or CHAPEL delivers the sermon; a pulpit.</t>
  </si>
  <si>
    <t>U_EDD\G_Room\016_Pulpit</t>
  </si>
  <si>
    <t>UG017-000</t>
  </si>
  <si>
    <t>An inclined plane, usually man-made, for moving between two levels; a ramp.</t>
  </si>
  <si>
    <t>U_EDD\G_Room\017_Ramp</t>
  </si>
  <si>
    <t>UG018-000</t>
  </si>
  <si>
    <t>Stair</t>
  </si>
  <si>
    <t>An ascending series or flight of steps leading from one FLOOR_LEVEL to another; a stair.</t>
  </si>
  <si>
    <t>U_EDD\G_Room\018_Stair</t>
  </si>
  <si>
    <t>UG019-000</t>
  </si>
  <si>
    <t>Ventilation_Duct</t>
  </si>
  <si>
    <t>A predominantly horizontal duct for the admission of a proper supply of fresh or temperature controlled air, especially to a ROOM, BUILDING or other place where the AIR readily becomes stagnant or in need of temperature control; a ventilation duct.</t>
  </si>
  <si>
    <t>U_EDD\G_Room\019_Ventilation_Duct</t>
  </si>
  <si>
    <t>UG020-000</t>
  </si>
  <si>
    <t>Ventilation_Shaft</t>
  </si>
  <si>
    <t>A vertical or slightly inclined passageway in a BUILDING used for heating or ventilation; a ventilation shaft.</t>
  </si>
  <si>
    <t>U_EDD\G_Room\020_Ventilation_Shaft</t>
  </si>
  <si>
    <t>U_EDD\G_Room\021_Vertical_Passage</t>
  </si>
  <si>
    <t>UG021-000</t>
  </si>
  <si>
    <t>Vertical_Passage_Generic</t>
  </si>
  <si>
    <t>An enclosure that provides passage between levels in a building, e.g., STAIR, ELEVATOR_SHAFT or FIRE_ESCAPE.</t>
  </si>
  <si>
    <t>UG021-001</t>
  </si>
  <si>
    <t>Vertical_Passage_Exterior</t>
  </si>
  <si>
    <t>An exterior enclosure that provides passage between levels in a building, e.g., STAIR, ELEVATOR_SHAFT.</t>
  </si>
  <si>
    <t>UG021-002</t>
  </si>
  <si>
    <t>Vertical_Passage_Interior</t>
  </si>
  <si>
    <t>An interior enclosure that provides passage between levels in a building, e.g., STAIR, ELEVATOR_SHAFT.</t>
  </si>
  <si>
    <t>UG022-000</t>
  </si>
  <si>
    <t>Stair_Set</t>
  </si>
  <si>
    <t>A SET of STAIRs connecting three or more FLOOR_LEVELs in an uninterrupted sequence.</t>
  </si>
  <si>
    <t>U_EDD\G_Room\022_Stair_Set</t>
  </si>
  <si>
    <t>UH000-000</t>
  </si>
  <si>
    <t>Section_Generic</t>
  </si>
  <si>
    <t>A large convex hull portion of a 3D model physically separating the model into manageable chunks. A 3D model is composed of at least one section.</t>
  </si>
  <si>
    <t>U_EDD\H_Section\000_Section_Generic</t>
  </si>
  <si>
    <t>UI000-000</t>
  </si>
  <si>
    <t>Fixture_Generic</t>
  </si>
  <si>
    <t>A generic FIXTURE</t>
  </si>
  <si>
    <t>U_EDD\I_Fixture\000_Fixture_Generic</t>
  </si>
  <si>
    <t>U_EDD\I_Fixture\001_Compartment_Content</t>
  </si>
  <si>
    <t>UI001-000</t>
  </si>
  <si>
    <t>Compartment_Content_Generic</t>
  </si>
  <si>
    <t>Fixed or mobile items contained in a compartment, e.g., FURNITURE or HEAT_RADIATOR.</t>
  </si>
  <si>
    <t>UI001-001</t>
  </si>
  <si>
    <t>Compartment_Content_Fixed</t>
  </si>
  <si>
    <t>Fixed items contained in a compartment, e.g., HEAT_RADIATOR.</t>
  </si>
  <si>
    <t>UI001-002</t>
  </si>
  <si>
    <t>Compartment_Content_Mobile</t>
  </si>
  <si>
    <t>Mobile items contained in a compartment, e.g., FURNITURE.</t>
  </si>
  <si>
    <t>UI002-000</t>
  </si>
  <si>
    <t>Control_Panel</t>
  </si>
  <si>
    <t>A panel on which are mounted switches, dials, and other mechanisms for the remote control or operation of electrical or other EQUIPMENT; a control panel.</t>
  </si>
  <si>
    <t>U_EDD\I_Fixture\002_Control_Panel</t>
  </si>
  <si>
    <t>UI003-000</t>
  </si>
  <si>
    <t>Furnace</t>
  </si>
  <si>
    <t>A STRUCTURE in which energy in a nonthermal form is converted to heat.</t>
  </si>
  <si>
    <t>U_EDD\I_Fixture\003_Furnace</t>
  </si>
  <si>
    <t>UI004-000</t>
  </si>
  <si>
    <t>Movable articles, whether useful or ornamental, in a BUILDING; furniture.</t>
  </si>
  <si>
    <t>U_EDD\I_Fixture\004_Furniture</t>
  </si>
  <si>
    <t>UI005-000</t>
  </si>
  <si>
    <t>Heat_Radiator</t>
  </si>
  <si>
    <t>EQUIPMENT consisting of a tank or compact array of PIPEs, having a large surface area, which is heated usually by circulating steam or hot water and gives off warmth also by convection; a heat radiator.</t>
  </si>
  <si>
    <t>U_EDD\I_Fixture\005_Heat_Radiator</t>
  </si>
  <si>
    <t>Floor</t>
  </si>
  <si>
    <t>UJ000-000</t>
  </si>
  <si>
    <t>Floor_Level_Generic</t>
  </si>
  <si>
    <t>A SET of ROOMs and STAIR landings in a BUILDING that are on the same or nearly the same level; a floor level or storey.</t>
  </si>
  <si>
    <t>U_EDD\J_Floor\000_Floor_Level_Generic</t>
  </si>
  <si>
    <t>U_EDD\J_Floor\001_Compartment_Layer</t>
  </si>
  <si>
    <t>UJ001-000</t>
  </si>
  <si>
    <t>Compartment_Layer_Generic</t>
  </si>
  <si>
    <t>A set of rooms in a building at nearly the same level, e.g., ATTIC, BASEMENT or FLOOR_LEVEL.</t>
  </si>
  <si>
    <t>UJ001-001</t>
  </si>
  <si>
    <t>Compartment_Layer_Inhabitable</t>
  </si>
  <si>
    <t>A compartment layer which is suitable for habitation, e.g., ATTIC, BASEMENT, FLOOR_LEVEL.</t>
  </si>
  <si>
    <t>UJ001-002</t>
  </si>
  <si>
    <t>Compartment_Layer_Uninhabitable</t>
  </si>
  <si>
    <t>A compartment layer which is not suitable for habitation, e.g., FLOOR_CRAWL_SPACE, ROOF_ASSEMBLY.</t>
  </si>
  <si>
    <t>UJ002-000</t>
  </si>
  <si>
    <t>Attic</t>
  </si>
  <si>
    <t>A space or room on the uppermost FLOOR_LEVEL of a BUILDING, formed either partially or wholly within the ROOF; an attic or garret.</t>
  </si>
  <si>
    <t>U_EDD\J_Floor\002_Attic</t>
  </si>
  <si>
    <t>UJ003-000</t>
  </si>
  <si>
    <t>Basement</t>
  </si>
  <si>
    <t>The lowest FLOOR_LEVEL (not a cellar) of a BUILDING, especially when sunk below the TERRAIN; a basement.</t>
  </si>
  <si>
    <t>U_EDD\J_Floor\003_Basement</t>
  </si>
  <si>
    <t>U_EDD\J_Floor\004_Crawl_Space</t>
  </si>
  <si>
    <t>UJ004-000</t>
  </si>
  <si>
    <t>Crawl_Space_Generic</t>
  </si>
  <si>
    <t>Aspace in a BUILDING providing access to ducts and of sufficient height for crawling; a ceiling or floor crawl space.</t>
  </si>
  <si>
    <t>UJ004-001</t>
  </si>
  <si>
    <t>Ceiling_Crawl_Space</t>
  </si>
  <si>
    <t>An above-ceiling space in a BUILDING providing access to ducts and of sufficient height for crawling; a ceiling crawl space.</t>
  </si>
  <si>
    <t>UJ004-002</t>
  </si>
  <si>
    <t>Floor_Crawl_Space</t>
  </si>
  <si>
    <t>An underfloor space in a BUILDING providing access to VENTILATION_DUCTs and of sufficient height for crawling; a crawl space.</t>
  </si>
  <si>
    <t>UJ005-000</t>
  </si>
  <si>
    <t>Mezzanine</t>
  </si>
  <si>
    <t>In a BUILDING, a low FLOOR_LEVEL between two higher ones, especially a low FLOOR_LEVEL between the ground FLOOR_LEVEL and the FLOOR_LEVEL above, occasionally between the ground FLOOR_LEVEL and the BASEMENT; a mezzanine.</t>
  </si>
  <si>
    <t>U_EDD\J_Floor\005_Mezzanine</t>
  </si>
  <si>
    <t>UJ006-000</t>
  </si>
  <si>
    <t>Roof_Assembly</t>
  </si>
  <si>
    <t>A ROOF and its structural support; a roof assembly.</t>
  </si>
  <si>
    <t>U_EDD\J_Floor\006_Roof_Assembly</t>
  </si>
  <si>
    <t>UK000-000</t>
  </si>
  <si>
    <t>Ceiling</t>
  </si>
  <si>
    <t>The overhead inside lining of a ROOM; a ceiling.</t>
  </si>
  <si>
    <t>U_EDD\K_Partition\000_Ceiling</t>
  </si>
  <si>
    <t>UK001-000</t>
  </si>
  <si>
    <t>The layer of MATERIAL, such as boards, brick, or stone, in ROOM, on which people tread; a floor.</t>
  </si>
  <si>
    <t>U_EDD\K_Partition\001_Floor</t>
  </si>
  <si>
    <t>U_EDD\K_Partition\002_Partition</t>
  </si>
  <si>
    <t>UK002-000</t>
  </si>
  <si>
    <t>Partition_Generic</t>
  </si>
  <si>
    <t>A horizontal or vertical structure that separates enclosures in a building, e.g., FLOOR or INTERIOR_WALL.</t>
  </si>
  <si>
    <t>UK002-001</t>
  </si>
  <si>
    <t>Horizontal_Partition</t>
  </si>
  <si>
    <t>A horizontal partition in a building, e.g., FLOOR or CEILING.</t>
  </si>
  <si>
    <t>UK002-002</t>
  </si>
  <si>
    <t>Vertical_Partition</t>
  </si>
  <si>
    <t>A vertical partition, e.g., INTERIOR_WALL, EXTERIOR_WALL.</t>
  </si>
  <si>
    <t>UK003-000</t>
  </si>
  <si>
    <t>Ventilation_Duct_Wall</t>
  </si>
  <si>
    <t>The WALLs or casing of a VENTILATION_DUCT.</t>
  </si>
  <si>
    <t>U_EDD\K_Partition\003_Ventilation_Duct_Wall</t>
  </si>
  <si>
    <t>U_EDD\K_Partition\004_Wall</t>
  </si>
  <si>
    <t>UK004-000</t>
  </si>
  <si>
    <t>Wall_Generic</t>
  </si>
  <si>
    <t>An exterior or interior WALL</t>
  </si>
  <si>
    <t>UK004-001</t>
  </si>
  <si>
    <t>Exterior_Wall</t>
  </si>
  <si>
    <t>A WALL forming an exterior of a STRUCTURE, connecting the foundation and ROOF (if present).</t>
  </si>
  <si>
    <t>UK004-002</t>
  </si>
  <si>
    <t>Interior_Wall</t>
  </si>
  <si>
    <t>A WALL in a BUILDING separating two ROOMs from each other; an interior wall.</t>
  </si>
  <si>
    <t>UN001-000</t>
  </si>
  <si>
    <t>Boundary_Component</t>
  </si>
  <si>
    <t>A COMPONENT of a BOUNDARY.</t>
  </si>
  <si>
    <t>U_EDD\N_Demarcation\001_Boundary_Component</t>
  </si>
  <si>
    <t>UN002-000</t>
  </si>
  <si>
    <t>Change_Line</t>
  </si>
  <si>
    <t>A LINE within a REGION indicating where the properties of the REGION change significantly; a change line.</t>
  </si>
  <si>
    <t>U_EDD\N_Demarcation\002_Change_Line</t>
  </si>
  <si>
    <t>UN003-000</t>
  </si>
  <si>
    <t>Data_Quality_Boundary</t>
  </si>
  <si>
    <t>A BOUNDARY between two DATA_QUALITY_REGIONs.</t>
  </si>
  <si>
    <t>U_EDD\N_Demarcation\003_Data_Quality_Boundary</t>
  </si>
  <si>
    <t>UO001-000</t>
  </si>
  <si>
    <t>Acoustic_Transducer</t>
  </si>
  <si>
    <t>A DEVICE to transform acoustic energy to and/or from electrical energy; an acoustic transducer.</t>
  </si>
  <si>
    <t>U_EDD\O_Device_And_Equipment\001_Acoustic_Transducer</t>
  </si>
  <si>
    <t>UO003-000</t>
  </si>
  <si>
    <t>Anemometer</t>
  </si>
  <si>
    <t>A WIND_INDICATOR designed to measure total WIND_SPEED or the SPEED of one or more linear (vector) components of the WIND; an anemometer.</t>
  </si>
  <si>
    <t>U_EDD\O_Device_And_Equipment\003_Anemometer</t>
  </si>
  <si>
    <t>UO004-000</t>
  </si>
  <si>
    <t>Automated_Teller_Machine</t>
  </si>
  <si>
    <t>A DEVICE that provides money and/or performs banking services when a special card is inserted and a password is typed in; an automated teller machine [SOED, "teller", II.2.a; "automated teller machine"].</t>
  </si>
  <si>
    <t>U_EDD\O_Device_And_Equipment\004_Automated_Teller_Machine</t>
  </si>
  <si>
    <t>UO006-000</t>
  </si>
  <si>
    <t>A panel on which are mounted switches, dials, and/or other mechanisms for the remote control and/or operation of EQUIPMENT (for example: electrical EQUIPMENT).</t>
  </si>
  <si>
    <t>U_EDD\O_Device_And_Equipment\006_Control_Panel</t>
  </si>
  <si>
    <t>UO007-000</t>
  </si>
  <si>
    <t>Device</t>
  </si>
  <si>
    <t>An OBJECT designed for a particular function or adapted for a particular purpose, especially a (simple) mechanical contrivance; a device [SOED, "device", 3].</t>
  </si>
  <si>
    <t>U_EDD\O_Device_And_Equipment\007_Device</t>
  </si>
  <si>
    <t>UO008-000</t>
  </si>
  <si>
    <t>Dragline</t>
  </si>
  <si>
    <t>Excavating EQUIPMENT consisting of a steel scoop that swings on CHAINs from a movable jib; the scoop is cast into the MATERIAL to be excavated and dragged back to the jib where it is lifted and dumped; a dragline.</t>
  </si>
  <si>
    <t>U_EDD\O_Device_And_Equipment\008_Dragline</t>
  </si>
  <si>
    <t>UO009-000</t>
  </si>
  <si>
    <t>Equipment</t>
  </si>
  <si>
    <t>OBJECTs used and/or required for a particular purpose; equipment [SOED, "equipment", 2] or apparatus.</t>
  </si>
  <si>
    <t>U_EDD\O_Device_And_Equipment\009_Equipment</t>
  </si>
  <si>
    <t>UO010-000</t>
  </si>
  <si>
    <t>Equipment_Component</t>
  </si>
  <si>
    <t>A COMPONENT of an item of EQUIPMENT.</t>
  </si>
  <si>
    <t>U_EDD\O_Device_And_Equipment\010_Equipment_Component</t>
  </si>
  <si>
    <t>UO011-000</t>
  </si>
  <si>
    <t>EQUIPMENT consisting of a moving STAIR made on the endless-chain principle, so that the steps ascend or descend continuously, for carrying HUMANs up or down; an escalator [SOED, "escalator"].</t>
  </si>
  <si>
    <t>U_EDD\O_Device_And_Equipment\011_Escalator</t>
  </si>
  <si>
    <t>UO012-000</t>
  </si>
  <si>
    <t>Explosive_Charge</t>
  </si>
  <si>
    <t>An explosive DEVICE that may be detonated to either damage or destroy STRUCTUREs or to move ROCK, SOIL, and/or other MATERIALs; an explosive charge.</t>
  </si>
  <si>
    <t>U_EDD\O_Device_And_Equipment\012_Explosive_Charge</t>
  </si>
  <si>
    <t>UO013-000</t>
  </si>
  <si>
    <t>Explosive_Land_Mine</t>
  </si>
  <si>
    <t>An EXPLOSIVE_MINE used in land warfare.</t>
  </si>
  <si>
    <t>U_EDD\O_Device_And_Equipment\013_Explosive_Land_Mine</t>
  </si>
  <si>
    <t>UO014-000</t>
  </si>
  <si>
    <t>Explosive_Mine</t>
  </si>
  <si>
    <t>An explosive DEVICE located on or below a PLANETARY_SURFACE, usually emplaced for military purposes; an explosive mine [SOED, "land-mine", a].</t>
  </si>
  <si>
    <t>U_EDD\O_Device_And_Equipment\014_Explosive_Mine</t>
  </si>
  <si>
    <t>UO015-000</t>
  </si>
  <si>
    <t>An exterior STRUCTURE or DEVICE erected for emergency exit in the event of fire; a fire-escape [AHD, "fire escape"]. EXAMPLE An outside STAIR that is attached to a BUILDING.</t>
  </si>
  <si>
    <t>U_EDD\O_Device_And_Equipment\015_Fire_Escape</t>
  </si>
  <si>
    <t>UO016-000</t>
  </si>
  <si>
    <t>Food_Oven</t>
  </si>
  <si>
    <t>EQUIPMENT consisting of a chamber or enclosed compartment for heating, baking, or roasting food; an oven or stove [AHD, "oven"].</t>
  </si>
  <si>
    <t>U_EDD\O_Device_And_Equipment\016_Food_Oven</t>
  </si>
  <si>
    <t>UO017-000</t>
  </si>
  <si>
    <t>EQUIPMENT consisting of a STORAGE_TANK and/or compact array of PIPEs that: has a large surface AREA; is heated, usually by circulating steam or hot WATER; and gives off warmth by radiation and convection; a heat radiator [SOED, "radiator", 2].</t>
  </si>
  <si>
    <t>U_EDD\O_Device_And_Equipment\017_Heat_Radiator</t>
  </si>
  <si>
    <t>UO018-000</t>
  </si>
  <si>
    <t>EQUIPMENT consisting of a platform, which is often enclosed, that is raised and lowered in a vertical shaft to transport HUMANs, EQUIPMENT, or MATERIALs; a lift or an elevator (US) [AHD, "elevator", 1.a].</t>
  </si>
  <si>
    <t>U_EDD\O_Device_And_Equipment\018_Lift</t>
  </si>
  <si>
    <t>UO019-000</t>
  </si>
  <si>
    <t>Marine_Aid_To_Navigation</t>
  </si>
  <si>
    <t>An AID_TO_NAVIGATION (for example: a BEACON and/or a BUOY) intended to support marine operations.</t>
  </si>
  <si>
    <t>U_EDD\O_Device_And_Equipment\019_Marine_Aid_To_Navigation</t>
  </si>
  <si>
    <t>UO020-000</t>
  </si>
  <si>
    <t>Munition</t>
  </si>
  <si>
    <t>A DEVICE charged with: explosives; propellant; pyrotechnics; initiating composition; or nuclear, chemical, or biological MATERIAL for use in military operations (for example: demolitions); a munition.</t>
  </si>
  <si>
    <t>U_EDD\O_Device_And_Equipment\020_Munition</t>
  </si>
  <si>
    <t>UO021-000</t>
  </si>
  <si>
    <t>Refuse_Bin</t>
  </si>
  <si>
    <t>A CONTAINER that: is of several cubic metres capacity; is used for the collection of refuse; and is designed to be hoisted and emptied into a specially equipped TRUCK or, occasionally, hauled away; a refuse bin.</t>
  </si>
  <si>
    <t>U_EDD\O_Device_And_Equipment\021_Refuse_Bin</t>
  </si>
  <si>
    <t>UO022-000</t>
  </si>
  <si>
    <t>Shovel</t>
  </si>
  <si>
    <t>EQUIPMENT for EXCAVATION that moves MATERIALs by a scooping action; a shovel.</t>
  </si>
  <si>
    <t>U_EDD\O_Device_And_Equipment\022_Shovel</t>
  </si>
  <si>
    <t>UO023-000</t>
  </si>
  <si>
    <t>Supplies_And_Expendables</t>
  </si>
  <si>
    <t>A NON_EMPTY_SET of EQUIPMENT and/or MATERIAL that may be consumed or discarded after use; supplies and expendables.</t>
  </si>
  <si>
    <t>U_EDD\O_Device_And_Equipment\023_Supplies_And_Expendables</t>
  </si>
  <si>
    <t>UO024-000</t>
  </si>
  <si>
    <t>Underwater_Communication_Device</t>
  </si>
  <si>
    <t>A DEVICE located in a WATERBODY and used to provide two-way communication; an underwater communication device. EXAMPLE ACOUSTIC_TRANSDUCER.</t>
  </si>
  <si>
    <t>U_EDD\O_Device_And_Equipment\024_Underwater_Communication_Device</t>
  </si>
  <si>
    <t>UO025-000</t>
  </si>
  <si>
    <t>Wind_Vane</t>
  </si>
  <si>
    <t>A visual DEVICE used to indicate or measure WIND_DIRECTION; a wind vane.</t>
  </si>
  <si>
    <t>U_EDD\O_Device_And_Equipment\025_Wind_Vane</t>
  </si>
  <si>
    <t>UO026-000</t>
  </si>
  <si>
    <t>A DEVICE designed to contain MATERIALs; a container [SOED, "container"].</t>
  </si>
  <si>
    <t>U_EDD\O_Device_And_Equipment\026_Container</t>
  </si>
  <si>
    <t>UO027-000</t>
  </si>
  <si>
    <t>Railway_Signal_Box</t>
  </si>
  <si>
    <t>Automated EQUIPMENT from which signals are sent to control the movements of TRAINs; a signal box or signal tower.</t>
  </si>
  <si>
    <t>U_EDD\O_Device_And_Equipment\027_Railway_Signal_Box</t>
  </si>
  <si>
    <t>UT001-000</t>
  </si>
  <si>
    <t>A STRUCTURE that protects a WATERBODY_REGION (for example: a SHORE, a HARBOUR, an ANCHORAGE, and/or a WATERBODY_SHELTER_BASIN) from WATER_WAVEs by preventing them from reaching the protected REGION or reducing their magnitude; a breakwater.</t>
  </si>
  <si>
    <t>U_EDD\T_Hydrographic_Artefact\001_Breakwater</t>
  </si>
  <si>
    <t>UT002-000</t>
  </si>
  <si>
    <t>Dyke</t>
  </si>
  <si>
    <t>An artificial EMBANKMENT to contain WATER; a dyke.</t>
  </si>
  <si>
    <t>U_EDD\T_Hydrographic_Artefact\002_Dyke</t>
  </si>
  <si>
    <t>UT003-000</t>
  </si>
  <si>
    <t>A pair of massive, hinged DOORs at the end of a LOCK_BASIN; a lock gate.</t>
  </si>
  <si>
    <t>U_EDD\T_Hydrographic_Artefact\003_Lock_Gate</t>
  </si>
  <si>
    <t>UT004-000</t>
  </si>
  <si>
    <t>Any OBJECT (for example: a MARINE_WRECK) on a WATERBODY_FLOOR that could be mistakenly identified as an operable SUBMERSIBLE_VESSEL when detected with acoustic or magnetic sensors; a non-submarine contact.</t>
  </si>
  <si>
    <t>U_EDD\T_Hydrographic_Artefact\004_Non_Submarine_Contact</t>
  </si>
  <si>
    <t>UT005-000</t>
  </si>
  <si>
    <t>Shoreline_Construction</t>
  </si>
  <si>
    <t>A fixed (not afloat) artificial STRUCTURE attached to a SHORE and normally used for berthing and protection of VESSELs; a shoreline construction.</t>
  </si>
  <si>
    <t>U_EDD\T_Hydrographic_Artefact\005_Shoreline_Construction</t>
  </si>
  <si>
    <t>UT006-000</t>
  </si>
  <si>
    <t>Tide_Lock</t>
  </si>
  <si>
    <t>A HYDROGRAPHIC_LOCK situated between a WATERBODY_SHELTER_BASIN or CANAL and tidewater to maintain the WATER at a desired level as the TIDE_LEVEL changes; a tide lock or guard lock.</t>
  </si>
  <si>
    <t>U_EDD\T_Hydrographic_Artefact\006_Tide_Lock</t>
  </si>
  <si>
    <t>UT007-000</t>
  </si>
  <si>
    <t>Levee</t>
  </si>
  <si>
    <t>An EMBANKMENT to prevent the overflow of a RIVER; a levee [SOED, "levee", 2.a.1].</t>
  </si>
  <si>
    <t>U_EDD\T_Hydrographic_Artefact\007_Levee</t>
  </si>
  <si>
    <t>UV001-000</t>
  </si>
  <si>
    <t>The space between two PIERs; a dock or a slip.</t>
  </si>
  <si>
    <t>U_EDD\V_Hydrographic_Trnsp\001_Dock</t>
  </si>
  <si>
    <t>UV002-000</t>
  </si>
  <si>
    <t>Marine_Clearing_Line</t>
  </si>
  <si>
    <t>A straight LINE that separates a safe WATERBODY_REGION from a dangerous REGION or that passes clear of a marine navigational danger; a marine clearing line.</t>
  </si>
  <si>
    <t>U_EDD\V_Hydrographic_Trnsp\002_Marine_Clearing_Line</t>
  </si>
  <si>
    <t>UV003-000</t>
  </si>
  <si>
    <t>Marine_Signal_Station</t>
  </si>
  <si>
    <t>A station on SHORE from which signals are made to VESSELs; a marine signal station.</t>
  </si>
  <si>
    <t>U_EDD\V_Hydrographic_Trnsp\003_Marine_Signal_Station</t>
  </si>
  <si>
    <t>UV004-000</t>
  </si>
  <si>
    <t>Navigable_Waterway</t>
  </si>
  <si>
    <t>A WATERCOURSE that is usable, sometimes after improvements, as a commercial MARINE_ROUTE; a navigable waterway.</t>
  </si>
  <si>
    <t>U_EDD\V_Hydrographic_Trnsp\004_Navigable_Waterway</t>
  </si>
  <si>
    <t>UV005-000</t>
  </si>
  <si>
    <t>Shoal</t>
  </si>
  <si>
    <t>A MARINE_REGION over which there is a WATER_DEPTH of twenty metres or less, and which is composed of unconsolidated MATERIAL, except CORAL or ROCK; a shoal.</t>
  </si>
  <si>
    <t>U_EDD\V_Hydrographic_Trnsp\005_Shoal</t>
  </si>
  <si>
    <t>UV006-000</t>
  </si>
  <si>
    <t>Turning_Basin</t>
  </si>
  <si>
    <t>An enlargement of a WATER_CHANNEL used for turning VESSELs; a turning basin or manoeuvering basin.</t>
  </si>
  <si>
    <t>U_EDD\V_Hydrographic_Trnsp\006_Turning_Basin</t>
  </si>
  <si>
    <t>UV007-000</t>
  </si>
  <si>
    <t>Wet_Dock</t>
  </si>
  <si>
    <t>A DOCK in which WATER can be maintained at any level by closing a MARINE_GATE when the WATER is at the desired level; a wet dock.</t>
  </si>
  <si>
    <t>U_EDD\V_Hydrographic_Trnsp\007_Wet_Dock</t>
  </si>
  <si>
    <t>UW001-000</t>
  </si>
  <si>
    <t>Bombora_Region</t>
  </si>
  <si>
    <t>A WATERBODY_REGION where WATER_WAVEs form over a submerged offshore SHOAL, sometimes (in very calm weather and/or at high TIDE) nearly swelling but in other conditions breaking heavily and producing a dangerous stretch of broken WATER; a bombora.</t>
  </si>
  <si>
    <t>U_EDD\W_Hydrology\001_Bombora_Region</t>
  </si>
  <si>
    <t>UW002-000</t>
  </si>
  <si>
    <t>Estuary</t>
  </si>
  <si>
    <t>An arm of a WATERBODY that extends inland to meet the mouth of a RIVER and includes a mixture of fresh and salt WATER; an estuary [AHD, "estuary", 2].</t>
  </si>
  <si>
    <t>U_EDD\W_Hydrology\002_Estuary</t>
  </si>
  <si>
    <t>UW003-000</t>
  </si>
  <si>
    <t>Fiord</t>
  </si>
  <si>
    <t>A long, narrow, deep INLET of a WATERBODY between TERRAIN with steep TERRAIN_SLOPEs; a fiord [SOED, "fiord"].</t>
  </si>
  <si>
    <t>U_EDD\W_Hydrology\003_Fiord</t>
  </si>
  <si>
    <t>UW004-000</t>
  </si>
  <si>
    <t>A WATERBODY and its adjoining SHOREs; hydrography.</t>
  </si>
  <si>
    <t>U_EDD\W_Hydrology\004_Hydrography</t>
  </si>
  <si>
    <t>UW005-000</t>
  </si>
  <si>
    <t>Hydrologic_Object</t>
  </si>
  <si>
    <t>A planetary OBJECT related to WATER; a hydrologic object.</t>
  </si>
  <si>
    <t>U_EDD\W_Hydrology\005_Hydrologic_Object</t>
  </si>
  <si>
    <t>UW006-000</t>
  </si>
  <si>
    <t>Marine_Bay</t>
  </si>
  <si>
    <t>A WATERBODY partially enclosed by LAND but with a wide mouth that affords access to the SEA; a marine bay.</t>
  </si>
  <si>
    <t>U_EDD\W_Hydrology\006_Marine_Bay</t>
  </si>
  <si>
    <t>UW007-000</t>
  </si>
  <si>
    <t>Marine_Gulf</t>
  </si>
  <si>
    <t>A large WATERBODY_REGION partially enclosed by LAND, especially a long land-locked portion of a WATERBODY opening through a MARINE_STRAIT; a marine gulf.</t>
  </si>
  <si>
    <t>U_EDD\W_Hydrology\007_Marine_Gulf</t>
  </si>
  <si>
    <t>UW008-000</t>
  </si>
  <si>
    <t>Marine_Sound</t>
  </si>
  <si>
    <t>A long, relatively wide WATERBODY that is larger than a MARINE_STRAIT or a MARINE_CHANNEL and that connects larger WATERBODYs (for example: SEAs and/or OCEANs); a marine sound [AHD, "sound", 3.1.a].</t>
  </si>
  <si>
    <t>U_EDD\W_Hydrology\008_Marine_Sound</t>
  </si>
  <si>
    <t>UW009-000</t>
  </si>
  <si>
    <t>Marine_Strait</t>
  </si>
  <si>
    <t>A narrow channel joining two WATERBODYs; a marine strait [SOED, "strait", 3].</t>
  </si>
  <si>
    <t>U_EDD\W_Hydrology\009_Marine_Strait</t>
  </si>
  <si>
    <t>UW010-000</t>
  </si>
  <si>
    <t>Ocean</t>
  </si>
  <si>
    <t>One of the major divisions of an expanse of salt WATER covering a PLANETARY_SURFACE; an ocean.</t>
  </si>
  <si>
    <t>U_EDD\W_Hydrology\010_Ocean</t>
  </si>
  <si>
    <t>UW011-000</t>
  </si>
  <si>
    <t>Polynya</t>
  </si>
  <si>
    <t>A large REGION of OPEN_WATER that is surrounded by floating ICE; a polynya [SOED, "polynya"].</t>
  </si>
  <si>
    <t>U_EDD\W_Hydrology\011_Polynya</t>
  </si>
  <si>
    <t>UW012-000</t>
  </si>
  <si>
    <t>Prevailing_Current</t>
  </si>
  <si>
    <t>A WATERBODY_CURRENT most frequently observed during a given observation period, usually a month, season, or year; a prevailing current.</t>
  </si>
  <si>
    <t>U_EDD\W_Hydrology\012_Prevailing_Current</t>
  </si>
  <si>
    <t>UW013-000</t>
  </si>
  <si>
    <t>Run_Off</t>
  </si>
  <si>
    <t>WATER that is carried off a TRACT by RIVERs after having fallen as RAIN; run-off.</t>
  </si>
  <si>
    <t>U_EDD\W_Hydrology\013_Run_Off</t>
  </si>
  <si>
    <t>UW014-000</t>
  </si>
  <si>
    <t>Sea</t>
  </si>
  <si>
    <t>A salty WATERBODY more or less confined by continuous LAND or chains of ISLANDs and forming a distinct REGION; a sea.</t>
  </si>
  <si>
    <t>U_EDD\W_Hydrology\014_Sea</t>
  </si>
  <si>
    <t>UW015-000</t>
  </si>
  <si>
    <t>A natural outflow of WATER from below the LAND; a spring.</t>
  </si>
  <si>
    <t>U_EDD\W_Hydrology\015_Spring</t>
  </si>
  <si>
    <t>UW016-000</t>
  </si>
  <si>
    <t>Underwater_Region</t>
  </si>
  <si>
    <t>A REGION under a WATERBODY_SURFACE.</t>
  </si>
  <si>
    <t>U_EDD\W_Hydrology\016_Underwater_Region</t>
  </si>
  <si>
    <t>UW017-000</t>
  </si>
  <si>
    <t>Waterbody</t>
  </si>
  <si>
    <t>A particular, designated body of WATER forming a physiographic OBJECT [SOED, "waterbody"]. EXAMPLES LAKE, OCEAN, SEA, RIVER.</t>
  </si>
  <si>
    <t>U_EDD\W_Hydrology\017_Waterbody</t>
  </si>
  <si>
    <t>UW018-000</t>
  </si>
  <si>
    <t>Waterbody_Basin</t>
  </si>
  <si>
    <t>A delimited, principal division of a WATERBODY; a waterbody basin. EXAMPLE OCEAN_BASIN.</t>
  </si>
  <si>
    <t>U_EDD\W_Hydrology\018_Waterbody_Basin</t>
  </si>
  <si>
    <t>UW019-000</t>
  </si>
  <si>
    <t>Waterbody_Current</t>
  </si>
  <si>
    <t>A large WATERBODY_REGION containing a WATER_CURRENT that is relatively homogenous with respect to WATERBODY_TEMPERATURE or PRACTICAL_SALINITY and that differs from that of the adjacent REGIONs; a waterbody current.</t>
  </si>
  <si>
    <t>U_EDD\W_Hydrology\019_Waterbody_Current</t>
  </si>
  <si>
    <t>UW020-000</t>
  </si>
  <si>
    <t>Waterbody_Region</t>
  </si>
  <si>
    <t>A REGION of a WATERBODY.</t>
  </si>
  <si>
    <t>U_EDD\W_Hydrology\020_Waterbody_Region</t>
  </si>
  <si>
    <t>UW021-000</t>
  </si>
  <si>
    <t>Water_Channel</t>
  </si>
  <si>
    <t>That part of a WATERBODY, sometimes dredged, that is deep enough for navigation through a WATERBODY_SURFACE_REGION that would otherwise not be navigable; a water channel. It is usually marked by a single or double line of MARINE_AID_TO_NAVIGATIONs.</t>
  </si>
  <si>
    <t>U_EDD\W_Hydrology\021_Water_Channel</t>
  </si>
  <si>
    <t>UW022-000</t>
  </si>
  <si>
    <t>Water_Current</t>
  </si>
  <si>
    <t>A CURRENT in a WATERBODY.</t>
  </si>
  <si>
    <t>U_EDD\W_Hydrology\022_Water_Current</t>
  </si>
  <si>
    <t>UW023-000</t>
  </si>
  <si>
    <t>Watercourse</t>
  </si>
  <si>
    <t>An artificial or natural channel for the conveyance of WATER; a watercourse.</t>
  </si>
  <si>
    <t>U_EDD\W_Hydrology\023_Watercourse</t>
  </si>
  <si>
    <t>UW024-000</t>
  </si>
  <si>
    <t>Inlet</t>
  </si>
  <si>
    <t>A short, narrow WATERCOURSE connecting a MARINE_BAY or LAGOON with a SEA; an inlet.</t>
  </si>
  <si>
    <t>U_EDD\W_Hydrology\024_Inlet</t>
  </si>
  <si>
    <t>Ice</t>
  </si>
  <si>
    <t>UX001-000</t>
  </si>
  <si>
    <t>Hoar_Frost</t>
  </si>
  <si>
    <t>A deposit of ICE (hoar crystals) that generally assumes the form of scales, needles, feathers, or fans and that forms on OBJECTs the SURFACEs of which are sufficiently cooled, usually by nocturnal radiation, to bring about deposition of the water vapour contained in the ambient AIR; hoar frost.</t>
  </si>
  <si>
    <t>U_EDD\X_Ice\001_Hoar_Frost</t>
  </si>
  <si>
    <t>UX002-000</t>
  </si>
  <si>
    <t>Frozen WATER; ice [SOED, "ice", 1.a].</t>
  </si>
  <si>
    <t>U_EDD\X_Ice\002_Ice</t>
  </si>
  <si>
    <t>UX003-000</t>
  </si>
  <si>
    <t>Ice_Glaze</t>
  </si>
  <si>
    <t>A coating of ICE, generally clear and smooth, formed on exposed OBJECTs by the freezing of a film of supercooled WATER deposited by RAIN, DRIZZLE, or FOG or possibly condensed from supercooled water vapour; ice glaze. ICE_GLAZE is denser, harder, and more transparent than either RIME or HOAR_FROST.</t>
  </si>
  <si>
    <t>U_EDD\X_Ice\003_Ice_Glaze</t>
  </si>
  <si>
    <t>UX004-000</t>
  </si>
  <si>
    <t>Ice_Keel</t>
  </si>
  <si>
    <t>An irregular, linear, downward extension of ICE formed where two moving masses of ICE collide on a WATERBODY; an ice keel.</t>
  </si>
  <si>
    <t>U_EDD\X_Ice\004_Ice_Keel</t>
  </si>
  <si>
    <t>UX005-000</t>
  </si>
  <si>
    <t>Rime</t>
  </si>
  <si>
    <t>A white or milky and opaque granular deposit of ICE formed by the rapid freezing of supercooled drops of WATER as they impinge upon an exposed OBJECT; rime. It is denser and harder than HOAR_FROST, but lighter, softer, and less transparent than ICE_GLAZE.</t>
  </si>
  <si>
    <t>U_EDD\X_Ice\005_Rime</t>
  </si>
  <si>
    <t>UX006-000</t>
  </si>
  <si>
    <t>Snow_Ground_Cover</t>
  </si>
  <si>
    <t>The layer formed by SNOW_PRECIPITATION as it accumulates on the LAND; snow ground cover.</t>
  </si>
  <si>
    <t>U_EDD\X_Ice\006_Snow_Ground_Cover</t>
  </si>
  <si>
    <t>UZ001-000</t>
  </si>
  <si>
    <t>Cargo</t>
  </si>
  <si>
    <t>The goods carried by a VEHICLE; a cargo [SOED, "cargo", 1.a] or load.</t>
  </si>
  <si>
    <t>U_EDD\Z_Industry\001_Cargo</t>
  </si>
  <si>
    <t>UZ002-000</t>
  </si>
  <si>
    <t>Drilling_Rig</t>
  </si>
  <si>
    <t>A STRUCTURE that enables EQUIPMENT (for example: a drill and/or instrumentation) to create a hole or to be deployed in a hole in the TERRAIN; a drilling rig.</t>
  </si>
  <si>
    <t>U_EDD\Z_Industry\002_Drilling_Rig</t>
  </si>
  <si>
    <t>UZ003-000</t>
  </si>
  <si>
    <t>Industrial_Oven</t>
  </si>
  <si>
    <t>An industrial STRUCTURE used for hardening, burning, or heating MATERIALs (for example: grain, meal, clay, or wood); an industrial oven.</t>
  </si>
  <si>
    <t>U_EDD\Z_Industry\003_Industrial_Oven</t>
  </si>
  <si>
    <t>UZ004-000</t>
  </si>
  <si>
    <t>Market_Place</t>
  </si>
  <si>
    <t>A MARKET where goods are offered for sale by several vendors; a market-place [SOED, "market-place", a].</t>
  </si>
  <si>
    <t>U_EDD\Z_Industry\004_Market_Place</t>
  </si>
  <si>
    <t>UZ005-000</t>
  </si>
  <si>
    <t>Natural_Gas_Rig</t>
  </si>
  <si>
    <t>A RIG for the collection of natural gas from a WELL; a natural gas rig.</t>
  </si>
  <si>
    <t>U_EDD\Z_Industry\005_Natural_Gas_Rig</t>
  </si>
  <si>
    <t>UZ006-000</t>
  </si>
  <si>
    <t>Soda_Evaporator</t>
  </si>
  <si>
    <t>A shallow RESERVOIR, normally man-made, used for the natural evaporation of WATER for the collection of soda; soda evaporator.</t>
  </si>
  <si>
    <t>U_EDD\Z_Industry\006_Soda_Evaporator</t>
  </si>
  <si>
    <t>VA002-000</t>
  </si>
  <si>
    <t>Buried_Electrical_Cable</t>
  </si>
  <si>
    <t>An ELECTRICAL_CABLE located underground and/or underwater; a buried electrical cable.</t>
  </si>
  <si>
    <t>V_EDD\A_Infrastructure\002_Buried_Electrical_Cable</t>
  </si>
  <si>
    <t>VA003-000</t>
  </si>
  <si>
    <t>Buried_Power_Transmission_Line</t>
  </si>
  <si>
    <t>A SYSTEM of BURIED_ELECTRICAL_CABLEs, supports, and conduits that transmits electricity over distance; a buried power transmission line.</t>
  </si>
  <si>
    <t>V_EDD\A_Infrastructure\003_Buried_Power_Transmission_Line</t>
  </si>
  <si>
    <t>VA004-000</t>
  </si>
  <si>
    <t>Institutional_Facility</t>
  </si>
  <si>
    <t>A FACILITY housing an established organization or foundation, especially one dedicated to education, public service, or culture, that provides for the care of HUMANs who are destitute, disabled, or mentally ill; an institutional facility.</t>
  </si>
  <si>
    <t>V_EDD\A_Infrastructure\004_Institutional_Facility</t>
  </si>
  <si>
    <t>VA005-000</t>
  </si>
  <si>
    <t>Manhole</t>
  </si>
  <si>
    <t>An APERTURE in a utility service OBJECT (for example: an item of EQUIPMENT, a FLOOR, a ROAD, the LAND, a SEWER and/or other conduit) through which PERSONNEL may pass to gain access to certain COMPONENTs; a manhole [SOED, "manhole"].</t>
  </si>
  <si>
    <t>V_EDD\A_Infrastructure\005_Manhole</t>
  </si>
  <si>
    <t>VA006-000</t>
  </si>
  <si>
    <t>Manhole_Cover</t>
  </si>
  <si>
    <t>A cover, which is often made of cast iron, that is designed both for complete removal and to cover a MANHOLE.</t>
  </si>
  <si>
    <t>V_EDD\A_Infrastructure\006_Manhole_Cover</t>
  </si>
  <si>
    <t>VA007-000</t>
  </si>
  <si>
    <t>Manhole_Riser</t>
  </si>
  <si>
    <t>A STRUCTURE that elevates a MANHOLE above the surrounding SURFACE; a manhole riser.</t>
  </si>
  <si>
    <t>V_EDD\A_Infrastructure\007_Manhole_Riser</t>
  </si>
  <si>
    <t>VA008-000</t>
  </si>
  <si>
    <t>Pipeline_Terminus</t>
  </si>
  <si>
    <t>The apparent end of a PIPELINE located above the TERRAIN where it enters the TERRAIN; a pipeline terminus. This apparent end often occurs at a pumping or industrial FACILITY or where the PIPELINE crosses under a LAND_TRANSPORTATION_ROUTE.</t>
  </si>
  <si>
    <t>V_EDD\A_Infrastructure\008_Pipeline_Terminus</t>
  </si>
  <si>
    <t>VA009-000</t>
  </si>
  <si>
    <t>Piping_Complex</t>
  </si>
  <si>
    <t>A NON_EMPTY_SET of PIPEs and associated pumps used to transfer slurries, liquids, or gases from one LOCATION to another; a piping complex.</t>
  </si>
  <si>
    <t>V_EDD\A_Infrastructure\009_Piping_Complex</t>
  </si>
  <si>
    <t>VA010-000</t>
  </si>
  <si>
    <t>Power_Transmission_Line_Terminus</t>
  </si>
  <si>
    <t>The terminus of a POWER_TRANSMISSION_LINE at a POWER_PLANT, POWER_SUBSTATION, transformer, or receiving FACILITY.</t>
  </si>
  <si>
    <t>V_EDD\A_Infrastructure\010_Power_Transmission_Line_Terminus</t>
  </si>
  <si>
    <t>VA011-000</t>
  </si>
  <si>
    <t>Public_Service_Station</t>
  </si>
  <si>
    <t>A station that houses public services and from which operations are directed or services provided.</t>
  </si>
  <si>
    <t>V_EDD\A_Infrastructure\011_Public_Service_Station</t>
  </si>
  <si>
    <t>VA012-000</t>
  </si>
  <si>
    <t>Sewer</t>
  </si>
  <si>
    <t>An artificial channel or conduit, usually covered and under the TERRAIN, for carrying off and discharging waste, storm WATER, and/or refuse from BUILDINGs and BUILT_UP_REGIONs; a sewer [SOED, "sewer", 2.a].</t>
  </si>
  <si>
    <t>V_EDD\A_Infrastructure\012_Sewer</t>
  </si>
  <si>
    <t>VA013-000</t>
  </si>
  <si>
    <t>Sludge_Gate</t>
  </si>
  <si>
    <t>A GATE used to regulate the flow of sludge from a SETTLING_POND; a sludge gate.</t>
  </si>
  <si>
    <t>V_EDD\A_Infrastructure\013_Sludge_Gate</t>
  </si>
  <si>
    <t>VA014-000</t>
  </si>
  <si>
    <t>Transmission_Station</t>
  </si>
  <si>
    <t>A station that is equipped for radio and/or television transmission.</t>
  </si>
  <si>
    <t>V_EDD\A_Infrastructure\014_Transmission_Station</t>
  </si>
  <si>
    <t>VC001-000</t>
  </si>
  <si>
    <t>Bridge_Platform</t>
  </si>
  <si>
    <t>A SITE that has been sculpted (for example: levelled) to support and/or secure a BRIDGE_PIER; a bridge platform.</t>
  </si>
  <si>
    <t>V_EDD\C_Land_Trnsp\001_Bridge_Platform</t>
  </si>
  <si>
    <t>VC002-000</t>
  </si>
  <si>
    <t>Bus_Stop</t>
  </si>
  <si>
    <t>A LOCATION where buses and coaches regularly stop to take on and/or let off passengers; a bus-stop [SOED, "bus-stop"].</t>
  </si>
  <si>
    <t>V_EDD\C_Land_Trnsp\002_Bus_Stop</t>
  </si>
  <si>
    <t>VC003-000</t>
  </si>
  <si>
    <t>A raised ROAD supported by a solid STRUCTURE and/or raised LAND providing a LAND_TRANSPORTATION_ROUTE across either a wet TERRAIN_SURFACE_REGION or an intertidal TERRAIN_SURFACE_REGION; a causeway.</t>
  </si>
  <si>
    <t>V_EDD\C_Land_Trnsp\003_Causeway</t>
  </si>
  <si>
    <t>VC004-000</t>
  </si>
  <si>
    <t>Driveway</t>
  </si>
  <si>
    <t>A private ROAD alongside, in front of, or leading to a BUILDING (for example: a HOUSE and/or a PARKING_GARAGE); a driveway [SOED, "driveway"].</t>
  </si>
  <si>
    <t>V_EDD\C_Land_Trnsp\004_Driveway</t>
  </si>
  <si>
    <t>VC005-000</t>
  </si>
  <si>
    <t>Engineer_Bridge</t>
  </si>
  <si>
    <t>A temporary BRIDGE spanning and providing passage over a TERRAIN_OBSTACLE (for example: a WATERBODY and/or a GULLY); an engineer bridge.</t>
  </si>
  <si>
    <t>V_EDD\C_Land_Trnsp\005_Engineer_Bridge</t>
  </si>
  <si>
    <t>VC006-000</t>
  </si>
  <si>
    <t>Land_Transportation_Route</t>
  </si>
  <si>
    <t>A TRANSPORTATION_ROUTE located principally on LAND.</t>
  </si>
  <si>
    <t>V_EDD\C_Land_Trnsp\006_Land_Transportation_Route</t>
  </si>
  <si>
    <t>VC007-000</t>
  </si>
  <si>
    <t>Level_Crossing</t>
  </si>
  <si>
    <t>A CROSSING between a RAILWAYand either a ROAD or another RAILWAY on the same vertical level; a level crossing or on-grade crossing.</t>
  </si>
  <si>
    <t>V_EDD\C_Land_Trnsp\007_Level_Crossing</t>
  </si>
  <si>
    <t>VC008-000</t>
  </si>
  <si>
    <t>Log_Crib</t>
  </si>
  <si>
    <t>A LOG_OBSTACLE that is formed in a cribwork and filled with SOIL and STONEs.</t>
  </si>
  <si>
    <t>V_EDD\C_Land_Trnsp\008_Log_Crib</t>
  </si>
  <si>
    <t>VC009-000</t>
  </si>
  <si>
    <t>Mobile_Bridge_System</t>
  </si>
  <si>
    <t>A SYSTEM that is transported on a VEHICLE and used to erect semi-permanent BRIDGEs; a mobile bridge system.</t>
  </si>
  <si>
    <t>V_EDD\C_Land_Trnsp\009_Mobile_Bridge_System</t>
  </si>
  <si>
    <t>VC010-000</t>
  </si>
  <si>
    <t>Overpass</t>
  </si>
  <si>
    <t>A BRIDGE used to provide clearance to traffic on a LAND_TRANSPORTATION_ROUTE at a lower elevation; an overpass.</t>
  </si>
  <si>
    <t>V_EDD\C_Land_Trnsp\010_Overpass</t>
  </si>
  <si>
    <t>VC011-000</t>
  </si>
  <si>
    <t>Railway_Signal_Structure</t>
  </si>
  <si>
    <t>An automated or manned STRUCTURE located adjacent to a RAILWAY that displays control information to passing TRAINs; a railway signal structure.</t>
  </si>
  <si>
    <t>V_EDD\C_Land_Trnsp\011_Railway_Signal_Structure</t>
  </si>
  <si>
    <t>VC012-000</t>
  </si>
  <si>
    <t>A rail or two parallel rails on which a TRAIN, tram, or RAIL_WAGON runs; a railway track.</t>
  </si>
  <si>
    <t>V_EDD\C_Land_Trnsp\012_Railway_Track</t>
  </si>
  <si>
    <t>VC013-000</t>
  </si>
  <si>
    <t>Rock_Drop</t>
  </si>
  <si>
    <t>A massive assemblage of MATERIAL, usually in the form of large concrete blocks and/or cylinders, suspended above or beside a LAND_TRANSPORTATION_ROUTE, ready to be activated as a potential BARRIER; a rock drop.</t>
  </si>
  <si>
    <t>V_EDD\C_Land_Trnsp\013_Rock_Drop</t>
  </si>
  <si>
    <t>VC014-000</t>
  </si>
  <si>
    <t>Route_Lane</t>
  </si>
  <si>
    <t>A COMPONENT of a LAND_TRANSPORTATION_ROUTE that is typically designated by painted lines, is used to segregate the flow of GROUND_VEHICLEs according to speed or intended DIRECTION, and has enough WIDTH to pass a single file of GROUND_VEHICLEs; a route lane [SOED, "lane", 2.d].</t>
  </si>
  <si>
    <t>V_EDD\C_Land_Trnsp\014_Route_Lane</t>
  </si>
  <si>
    <t>VC015-000</t>
  </si>
  <si>
    <t>A paved pedestrian walkway, usually made of concrete, typically located adjacent and parallel to a ROAD; a sidewalk.</t>
  </si>
  <si>
    <t>V_EDD\C_Land_Trnsp\015_Sidewalk</t>
  </si>
  <si>
    <t>VC016-000</t>
  </si>
  <si>
    <t>A passage under the TERRAIN that is open at both ends and usually contains a LAND_TRANSPORTATION_ROUTE; a tunnel.</t>
  </si>
  <si>
    <t>V_EDD\C_Land_Trnsp\016_Tunnel</t>
  </si>
  <si>
    <t>VC017-000</t>
  </si>
  <si>
    <t>Viaduct</t>
  </si>
  <si>
    <t>A STRUCTURE consisting of a series of arches or TOWERs supporting a LAND_TRANSPORTATION_ROUTE across a TERRAIN_DEPRESSION; a viaduct.</t>
  </si>
  <si>
    <t>V_EDD\C_Land_Trnsp\017_Viaduct</t>
  </si>
  <si>
    <t>VC018-000</t>
  </si>
  <si>
    <t>Weapon_Fighting_Pos_Access_Route</t>
  </si>
  <si>
    <t>The concealed access RAMP or LAND_TRANSPORTATION_ROUTE leading from the exterior of a WEAPON_FIGHTING_POSITION to the WEAPON_FULL_DEFILADE_POSITION and then to the WEAPON_HULL_DEFILADE_POSITION; a weapon fighting position access route.</t>
  </si>
  <si>
    <t>V_EDD\C_Land_Trnsp\018_Weapon_Fighting_Pos_Access_Route</t>
  </si>
  <si>
    <t>VD001-000</t>
  </si>
  <si>
    <t>Bioluminescence</t>
  </si>
  <si>
    <t>The production of light without sensible heat by LIVING_ORGANISMs as a result of chemical reaction either within cells or organs or extracellulary in some form of secretion; bioluminescence.</t>
  </si>
  <si>
    <t>V_EDD\D_Lighting_And_Visibility\001_Bioluminescence</t>
  </si>
  <si>
    <t>VD002-000</t>
  </si>
  <si>
    <t>Display_Light</t>
  </si>
  <si>
    <t>A specially constructed LIGHT that illuminates DISPLAY_SIGNs or other STRUCTUREs; a display light.</t>
  </si>
  <si>
    <t>V_EDD\D_Lighting_And_Visibility\002_Display_Light</t>
  </si>
  <si>
    <t>VD003-000</t>
  </si>
  <si>
    <t>Phosphorescent_Region</t>
  </si>
  <si>
    <t>A phosphorescent WATERBODY_REGION.</t>
  </si>
  <si>
    <t>V_EDD\D_Lighting_And_Visibility\003_Phosphorescent_Region</t>
  </si>
  <si>
    <t>VD004-000</t>
  </si>
  <si>
    <t>Shadow</t>
  </si>
  <si>
    <t>A REGION of partial darkness produced by an OBJECT intercepting rays of light (for example: the direct rays of the SUN); a shadow.</t>
  </si>
  <si>
    <t>V_EDD\D_Lighting_And_Visibility\004_Shadow</t>
  </si>
  <si>
    <t>VE001-000</t>
  </si>
  <si>
    <t>Shore</t>
  </si>
  <si>
    <t>The narrow TERRAIN_STRIP in immediate contact with a WATERBODY, including the TRACT between high and low water LINEs; a shore.</t>
  </si>
  <si>
    <t>V_EDD\E_Littoral\001_Shore</t>
  </si>
  <si>
    <t>Living_Organism</t>
  </si>
  <si>
    <t>VF001-000</t>
  </si>
  <si>
    <t>Alga</t>
  </si>
  <si>
    <t>A PROTIST capable of photosynthesis; an alga [SOED, "alga"]. EXAMPLES SEAWEED, many unicellular and filamentous LIVING_ORGANISMs.</t>
  </si>
  <si>
    <t>V_EDD\F_Living_Organism\001_Alga</t>
  </si>
  <si>
    <t>VF002-000</t>
  </si>
  <si>
    <t>Fungus</t>
  </si>
  <si>
    <t>A LIVING_ORGANISM of the kingdom Fungi, the members of which lack chlorophyll and grow on and obtain nutriment from organic matter; a fungus [SOED, "fungus"]. EXAMPLES MUSHROOM, toadstool, mould, rust, yeast, fungus constituent of a LICHEN.</t>
  </si>
  <si>
    <t>V_EDD\F_Living_Organism\002_Fungus</t>
  </si>
  <si>
    <t>VF003-000</t>
  </si>
  <si>
    <t>Lichen</t>
  </si>
  <si>
    <t>A composite LIVING_ORGANISM formed by the association of ALGA with FUNGUS and occurring as encrusting or branching friable growths on SURFACEs, to which they give a green, grey, or yellow colour; a lichen [SOED, "lichen"].</t>
  </si>
  <si>
    <t>V_EDD\F_Living_Organism\003_Lichen</t>
  </si>
  <si>
    <t>VF004-000</t>
  </si>
  <si>
    <t>A living thing; a living organism or life-form [SOED, "life-form"].</t>
  </si>
  <si>
    <t>V_EDD\F_Living_Organism\004_Living_Organism</t>
  </si>
  <si>
    <t>VF005-000</t>
  </si>
  <si>
    <t>Moneran</t>
  </si>
  <si>
    <t>A LIVING_ORGANISM of the kingdom Monera, which comprises all prokaryotic single-celled organisms; a moneran [SOED, "monera"]. EXAMPLES Bacterium, cyanophyte.</t>
  </si>
  <si>
    <t>V_EDD\F_Living_Organism\005_Moneran</t>
  </si>
  <si>
    <t>VF006-000</t>
  </si>
  <si>
    <t>Mushroom</t>
  </si>
  <si>
    <t>A FUNGUS of phylum Basidiomycota, the members of which have a fleshy, fruiting body, usually rounded or caplike, on a stalk growing from the ground; a mushroom [SOED, "mushroom"].</t>
  </si>
  <si>
    <t>V_EDD\F_Living_Organism\006_Mushroom</t>
  </si>
  <si>
    <t>VF007-000</t>
  </si>
  <si>
    <t>Plankton</t>
  </si>
  <si>
    <t>Zooplankton or phytoplankton that is passively floating or drifting in a WATERBODY; plankton [MWCD, "plankton"].</t>
  </si>
  <si>
    <t>V_EDD\F_Living_Organism\007_Plankton</t>
  </si>
  <si>
    <t>VF008-000</t>
  </si>
  <si>
    <t>Protist</t>
  </si>
  <si>
    <t>A LIVING_ORGANISM of the kingdom Protista, the members of which are simple organisms that are between, or distinct from, ANIMALs and PLANTs, especially a unicellular eukaryote; a protist [SOED, "protist"]. EXAMPLES Protozoan, single-celled ALGA.</t>
  </si>
  <si>
    <t>V_EDD\F_Living_Organism\008_Protist</t>
  </si>
  <si>
    <t>Location</t>
  </si>
  <si>
    <t>VG003-000</t>
  </si>
  <si>
    <t>Centre_Line</t>
  </si>
  <si>
    <t>A real or imaginary LINE indicating and/or marking the cross-sectional centre of an OBJECT along its primary extent; a centre-line.</t>
  </si>
  <si>
    <t>V_EDD\G_Location\003_Centre_Line</t>
  </si>
  <si>
    <t>VG004-000</t>
  </si>
  <si>
    <t>Direction</t>
  </si>
  <si>
    <t>A direction in relation to a LOCATION. EXAMPLES Course, bearing.</t>
  </si>
  <si>
    <t>V_EDD\G_Location\004_Direction</t>
  </si>
  <si>
    <t>VG005-000</t>
  </si>
  <si>
    <t>Hazard_Marker</t>
  </si>
  <si>
    <t>A MARKER placed near or on a TERRAIN_SURFACE_REGION or TERRAIN_SURFACE_OBJECT to identify it as a potential hazard.</t>
  </si>
  <si>
    <t>V_EDD\G_Location\005_Hazard_Marker</t>
  </si>
  <si>
    <t>VG006-000</t>
  </si>
  <si>
    <t>High_Pressure_Centre</t>
  </si>
  <si>
    <t>The LOCATION of the centre of an ATMOSPHERE_REGION of high ATM_PRESSURE.</t>
  </si>
  <si>
    <t>V_EDD\G_Location\006_High_Pressure_Centre</t>
  </si>
  <si>
    <t>VG007-000</t>
  </si>
  <si>
    <t>Isopleth</t>
  </si>
  <si>
    <t>A LINE defined by LOCATIONs for which some chosen quantity has the same value; an isopleth [SOED, "isopleth", 1].</t>
  </si>
  <si>
    <t>V_EDD\G_Location\007_Isopleth</t>
  </si>
  <si>
    <t>VG008-000</t>
  </si>
  <si>
    <t>Line</t>
  </si>
  <si>
    <t>A curve connecting a SET of two or more LOCATIONs; a line [SOED, "line", n2.III.14.b] or a curve.</t>
  </si>
  <si>
    <t>V_EDD\G_Location\008_Line</t>
  </si>
  <si>
    <t>VG009-000</t>
  </si>
  <si>
    <t>A spatial location.</t>
  </si>
  <si>
    <t>V_EDD\G_Location\009_Location</t>
  </si>
  <si>
    <t>VG010-000</t>
  </si>
  <si>
    <t>Planetary_Pole</t>
  </si>
  <si>
    <t>Either of the two LOCATIONs where the axis of rotation of a PLANET intersects the PLANETARY_SURFACE; a planetary pole.</t>
  </si>
  <si>
    <t>V_EDD\G_Location\010_Planetary_Pole</t>
  </si>
  <si>
    <t>VG011-000</t>
  </si>
  <si>
    <t>Railway_Nexus</t>
  </si>
  <si>
    <t>A representation of one or more RAILWAYs, especially in a BUILT_UP_REGION; a railway centre-line or railway nexus.</t>
  </si>
  <si>
    <t>V_EDD\G_Location\011_Railway_Nexus</t>
  </si>
  <si>
    <t>VG012-000</t>
  </si>
  <si>
    <t>Ray_Path</t>
  </si>
  <si>
    <t>An imaginary LINE along which energy associated with a LOCATION on a wave front moves; a ray path.</t>
  </si>
  <si>
    <t>V_EDD\G_Location\012_Ray_Path</t>
  </si>
  <si>
    <t>VG013-000</t>
  </si>
  <si>
    <t>Region</t>
  </si>
  <si>
    <t>A usually contiguous subset of the environment that may include TERRAIN, a WATERBODY, the ATMOSPHERE, and/or SPACE; a region.</t>
  </si>
  <si>
    <t>V_EDD\G_Location\013_Region</t>
  </si>
  <si>
    <t>VG014-000</t>
  </si>
  <si>
    <t>Relative_Displacement_Line</t>
  </si>
  <si>
    <t>A LINE connecting LOCATIONs having a constant relative vertical offset from the TERRAIN; a relative displacement line.</t>
  </si>
  <si>
    <t>V_EDD\G_Location\014_Relative_Displacement_Line</t>
  </si>
  <si>
    <t>VG015-000</t>
  </si>
  <si>
    <t>River_Nexus</t>
  </si>
  <si>
    <t>A representation of one or more RIVERs; a river centre-line or river nexus.</t>
  </si>
  <si>
    <t>V_EDD\G_Location\015_River_Nexus</t>
  </si>
  <si>
    <t>VG016-000</t>
  </si>
  <si>
    <t>Site</t>
  </si>
  <si>
    <t>The LOCATION of an actual or planned NON_EMPTY_SET of STRUCTUREs; a site [AHD, "site", 1].</t>
  </si>
  <si>
    <t>V_EDD\G_Location\016_Site</t>
  </si>
  <si>
    <t>VG017-000</t>
  </si>
  <si>
    <t>Transportation_Route</t>
  </si>
  <si>
    <t>A ROUTE used for transportation.</t>
  </si>
  <si>
    <t>V_EDD\G_Location\017_Transportation_Route</t>
  </si>
  <si>
    <t>VG018-000</t>
  </si>
  <si>
    <t>Variable_Displacement_Line</t>
  </si>
  <si>
    <t>A LINE connecting LOCATIONs having a varying relative vertical offset from the TERRAIN; a variable displacement line.</t>
  </si>
  <si>
    <t>V_EDD\G_Location\018_Variable_Displacement_Line</t>
  </si>
  <si>
    <t>VG019-000</t>
  </si>
  <si>
    <t>Wadi_Nexus</t>
  </si>
  <si>
    <t>The representation of one or more WADIs; a wadi centre-line or wadi nexus.</t>
  </si>
  <si>
    <t>V_EDD\G_Location\019_Wadi_Nexus</t>
  </si>
  <si>
    <t>VI001-000</t>
  </si>
  <si>
    <t>Abatis</t>
  </si>
  <si>
    <t>A defence constructed by placing felled TREEs lengthwise one over the other with their branches towards the enemy's line; an abatis [SOED, "abatis"].</t>
  </si>
  <si>
    <t>V_EDD\I_Military_Science\001_Abatis</t>
  </si>
  <si>
    <t>VI002-000</t>
  </si>
  <si>
    <t>Air_Defence_Artillery</t>
  </si>
  <si>
    <t>Ground based surface to air WEAPONs for engaging AIRCRAFT and MISSILE targets; air defence artillery.</t>
  </si>
  <si>
    <t>V_EDD\I_Military_Science\002_Air_Defence_Artillery</t>
  </si>
  <si>
    <t>VI003-000</t>
  </si>
  <si>
    <t>Breach</t>
  </si>
  <si>
    <t>An APERTURE in an obstacle (for example: a FORTIFICATION, a WALL, and/or a TERRAIN_OBSTACLE), particularly one caused by violence or natural decay; a breach.</t>
  </si>
  <si>
    <t>V_EDD\I_Military_Science\003_Breach</t>
  </si>
  <si>
    <t>VI004-000</t>
  </si>
  <si>
    <t>A rough APERTURE for entrance and/or egress of HUMANs, typically about 60 centimetres in diameter; a breach hole.</t>
  </si>
  <si>
    <t>V_EDD\I_Military_Science\004_Breach_Hole</t>
  </si>
  <si>
    <t>VI005-000</t>
  </si>
  <si>
    <t>Defensive_Position</t>
  </si>
  <si>
    <t>One or more STRUCTUREs constructed for the military defence of a SITE that are resistant to MUNITIONs; a defensive position.</t>
  </si>
  <si>
    <t>V_EDD\I_Military_Science\005_Defensive_Position</t>
  </si>
  <si>
    <t>VI006-000</t>
  </si>
  <si>
    <t>Defensive_Position_Defilade</t>
  </si>
  <si>
    <t>A TERRAIN_SURFACE_REGION affording protection or shielding from hostile ground observation and flat projecting fire; the protection is provided by a TERRAIN_OBSTACLE (for example: a DEFENSIVE_POSITION, a HILL, and/or a PARAPET); a defensive position defilade.</t>
  </si>
  <si>
    <t>V_EDD\I_Military_Science\006_Defensive_Position_Defilade</t>
  </si>
  <si>
    <t>VI007-000</t>
  </si>
  <si>
    <t>Field_Artillery</t>
  </si>
  <si>
    <t>A large-calibre firing WEAPON; a field artillery piece. EXAMPLES Howitzer, cannon.</t>
  </si>
  <si>
    <t>V_EDD\I_Military_Science\007_Field_Artillery</t>
  </si>
  <si>
    <t>VI008-000</t>
  </si>
  <si>
    <t>Fighting_Position</t>
  </si>
  <si>
    <t>A configuration of LAND and/or STRUCTUREs that is intended to accommodate MILITARY_PERSONNEL, military EQUIPMENT, and/or military GROUND_VEHICLEs; that provides cover and concealment from direct and potentially indirect fire; and that affords effective use of WEAPONs; a fighting position.</t>
  </si>
  <si>
    <t>V_EDD\I_Military_Science\008_Fighting_Position</t>
  </si>
  <si>
    <t>VI009-000</t>
  </si>
  <si>
    <t>Individual_Fighting_Position</t>
  </si>
  <si>
    <t>A FIGHTING_POSITION designed to accommodate an individual soldier and that soldier's EQUIPMENT.</t>
  </si>
  <si>
    <t>V_EDD\I_Military_Science\009_Individual_Fighting_Position</t>
  </si>
  <si>
    <t>VI010-000</t>
  </si>
  <si>
    <t>Land_Minefield</t>
  </si>
  <si>
    <t>A MINEFIELD on LAND.</t>
  </si>
  <si>
    <t>V_EDD\I_Military_Science\010_Land_Minefield</t>
  </si>
  <si>
    <t>VI011-000</t>
  </si>
  <si>
    <t>Marine_Minefield</t>
  </si>
  <si>
    <t>A marine MINEFIELD.</t>
  </si>
  <si>
    <t>V_EDD\I_Military_Science\011_Marine_Minefield</t>
  </si>
  <si>
    <t>VI012-000</t>
  </si>
  <si>
    <t>A REGION throughout which EXPLOSIVE_MINEs have been laid; a minefield.</t>
  </si>
  <si>
    <t>V_EDD\I_Military_Science\012_Minefield</t>
  </si>
  <si>
    <t>VI013-000</t>
  </si>
  <si>
    <t>Missile</t>
  </si>
  <si>
    <t>A destructive projectile that during part or all of its course is self-propelling and directed by remote control or automatically; a missile [SOED, "guided missile"].</t>
  </si>
  <si>
    <t>V_EDD\I_Military_Science\013_Missile</t>
  </si>
  <si>
    <t>VI014-000</t>
  </si>
  <si>
    <t>Mortar</t>
  </si>
  <si>
    <t>A muzzle loading cannon for firing shells at low velocities, short ranges, and high trajectories; a mortar [AHD, "mortar", 3.a].</t>
  </si>
  <si>
    <t>V_EDD\I_Military_Science\014_Mortar</t>
  </si>
  <si>
    <t>VI015-000</t>
  </si>
  <si>
    <t>Parapet</t>
  </si>
  <si>
    <t>An EMBANKMENT, especially one on top of a WALL or RAMPART or in front of a MILITARY_TRENCH, that is built to provide protection from an enemy's observation and fire, to protect EQUIPMENT, to stabilize an adjacent STRUCTURE, or to serve as a TERRAIN_OBSTACLE; a parapet [SOED, "parapet", 1.</t>
  </si>
  <si>
    <t>V_EDD\I_Military_Science\015_Parapet</t>
  </si>
  <si>
    <t>VI016-000</t>
  </si>
  <si>
    <t>Prohibited_Region</t>
  </si>
  <si>
    <t>A REGION, usually on a MILITARY_INSTALLATION, where entrance or presence of unauthorized PERSONNEL is prohibited, typically due to the presence of unexploded MUNITIONs, EXPLOSIVE_MINEs, or sensitive environmental habitats; a prohibited region.</t>
  </si>
  <si>
    <t>V_EDD\I_Military_Science\016_Prohibited_Region</t>
  </si>
  <si>
    <t>VI017-000</t>
  </si>
  <si>
    <t>Self_Propelled_Artillery</t>
  </si>
  <si>
    <t>Self-propelled FIELD_ARTILLERY.</t>
  </si>
  <si>
    <t>V_EDD\I_Military_Science\017_Self_Propelled_Artillery</t>
  </si>
  <si>
    <t>VI018-000</t>
  </si>
  <si>
    <t>Terrain_Crater</t>
  </si>
  <si>
    <t>A localized TERRAIN_DEPRESSION created by an explosion and/or the impact of a large or high-velocity projectile upon the TERRAIN; a crater [SOED, "crater", 2].</t>
  </si>
  <si>
    <t>V_EDD\I_Military_Science\018_Terrain_Crater</t>
  </si>
  <si>
    <t>VI019-000</t>
  </si>
  <si>
    <t>Terrain_Transportation_Abatis</t>
  </si>
  <si>
    <t>An ABATIS blocking movement on a LAND_TRANSPORTATION_ROUTE.</t>
  </si>
  <si>
    <t>V_EDD\I_Military_Science\019_Terrain_Transportation_Abatis</t>
  </si>
  <si>
    <t>VI020-000</t>
  </si>
  <si>
    <t>Towed_Artillery</t>
  </si>
  <si>
    <t>Towed FIELD_ARTILLERY.</t>
  </si>
  <si>
    <t>V_EDD\I_Military_Science\020_Towed_Artillery</t>
  </si>
  <si>
    <t>VI021-000</t>
  </si>
  <si>
    <t>Weapon</t>
  </si>
  <si>
    <t>EQUIPMENT intended to inflict bodily harm, especially one used in warfare to overcome an enemy and/or repel a hostile attack; a weapon [SOED, "weapon", 1a].</t>
  </si>
  <si>
    <t>V_EDD\I_Military_Science\021_Weapon</t>
  </si>
  <si>
    <t>VI022-000</t>
  </si>
  <si>
    <t>Weapon_Fighting_Position</t>
  </si>
  <si>
    <t>A FIGHTING_POSITION designed to accommodate an individual WEAPON, which may be mounted on a VEHICLE.</t>
  </si>
  <si>
    <t>V_EDD\I_Military_Science\022_Weapon_Fighting_Position</t>
  </si>
  <si>
    <t>VI023-000</t>
  </si>
  <si>
    <t>Weapon_Full_Defilade_Position</t>
  </si>
  <si>
    <t>The REGION within a WEAPON_FIGHTING_POSITION in which the entire WEAPON is hidden from enemy view and fire; a weapon full defilade position.</t>
  </si>
  <si>
    <t>V_EDD\I_Military_Science\023_Weapon_Full_Defilade_Position</t>
  </si>
  <si>
    <t>VI024-000</t>
  </si>
  <si>
    <t>Weapon_Hull_Defilade_Position</t>
  </si>
  <si>
    <t>The REGION within a WEAPON_FIGHTING_POSITION in which only the fighting COMPONENT of the WEAPON is exposed to enemy fire or view; a weapon hull defilade position.</t>
  </si>
  <si>
    <t>V_EDD\I_Military_Science\024_Weapon_Hull_Defilade_Position</t>
  </si>
  <si>
    <t>VI025-000</t>
  </si>
  <si>
    <t>Weapon_System</t>
  </si>
  <si>
    <t>A WEAPON together with all the EQUIPMENT (for example: detection and control apparatus, a launcher, and/or a delivery VEHICLE) required to make use of it; a weapon system [SOED, "weapon system"].</t>
  </si>
  <si>
    <t>V_EDD\I_Military_Science\025_Weapon_System</t>
  </si>
  <si>
    <t>VJ001-000</t>
  </si>
  <si>
    <t>Butte</t>
  </si>
  <si>
    <t>A detached, flat-topped HILL or tableland that is smaller than a MESA and rises steeply from a surrounding TERRAIN_PLAIN; a butte.</t>
  </si>
  <si>
    <t>V_EDD\J_Physiography\001_Butte</t>
  </si>
  <si>
    <t>VJ002-000</t>
  </si>
  <si>
    <t>Canyon</t>
  </si>
  <si>
    <t>A deep GORGE, frequently with a RIVER at its bottom; a canyon [SOED, "canyon", A].</t>
  </si>
  <si>
    <t>V_EDD\J_Physiography\002_Canyon</t>
  </si>
  <si>
    <t>VJ003-000</t>
  </si>
  <si>
    <t>Desert_Region</t>
  </si>
  <si>
    <t>A dry, often sandy, TRACT of little rainfall, extreme AIR_TEMPERATUREs, and sparse VEGETATION; a desert region [AHD, "desert", 1.a].</t>
  </si>
  <si>
    <t>V_EDD\J_Physiography\003_Desert_Region</t>
  </si>
  <si>
    <t>VJ004-000</t>
  </si>
  <si>
    <t>Dry_Lake</t>
  </si>
  <si>
    <t>A nearly level TRACT at the bottom of an undrained GEOGRAPHIC_BASIN in a DESERT_REGION, sometimes temporarily covered with WATER; a dry lake.</t>
  </si>
  <si>
    <t>V_EDD\J_Physiography\004_Dry_Lake</t>
  </si>
  <si>
    <t>VJ005-000</t>
  </si>
  <si>
    <t>Excavation</t>
  </si>
  <si>
    <t>An excavated space in the TERRAIN; an excavation [SOED, "excavation", 2], a cavity, or a hollow.</t>
  </si>
  <si>
    <t>V_EDD\J_Physiography\005_Excavation</t>
  </si>
  <si>
    <t>VJ006-000</t>
  </si>
  <si>
    <t>Filled_Terrain</t>
  </si>
  <si>
    <t>BUILT_UP_TERRAIN that has been brought to a required higher TERRAIN_ELEVATION or levelled through the addition of SOIL, ROCK, and/or other MATERIALs; filled terrain.</t>
  </si>
  <si>
    <t>V_EDD\J_Physiography\006_Filled_Terrain</t>
  </si>
  <si>
    <t>VJ007-000</t>
  </si>
  <si>
    <t>Flood_Basin</t>
  </si>
  <si>
    <t>A TRACT that submerges during the highest known flood in a TERRAIN_SURFACE_REGION or has the potential for being flooded (for example: by the failure of a DAM); a flood basin.</t>
  </si>
  <si>
    <t>V_EDD\J_Physiography\007_Flood_Basin</t>
  </si>
  <si>
    <t>VJ008-000</t>
  </si>
  <si>
    <t>Geographic_Basin</t>
  </si>
  <si>
    <t>The TERRAIN_SURFACE_REGION that is drained by a RIVER and its tributaries or that drains into a particular LAKE or SEA; a geographic basin.</t>
  </si>
  <si>
    <t>V_EDD\J_Physiography\008_Geographic_Basin</t>
  </si>
  <si>
    <t>VJ009-000</t>
  </si>
  <si>
    <t>Glade</t>
  </si>
  <si>
    <t>A TRACT with few or no TREEs that is surrounded by a TREED_TRACT; a clearing or glade.</t>
  </si>
  <si>
    <t>V_EDD\J_Physiography\009_Glade</t>
  </si>
  <si>
    <t>VJ010-000</t>
  </si>
  <si>
    <t>Isthmus</t>
  </si>
  <si>
    <t>A TERRAIN_STRIP that is bordered on both sides by WATERBODYs and that connects two larger bodies of LAND; an isthmus.</t>
  </si>
  <si>
    <t>V_EDD\J_Physiography\010_Isthmus</t>
  </si>
  <si>
    <t>VJ011-000</t>
  </si>
  <si>
    <t>Jungle</t>
  </si>
  <si>
    <t>A TRACT, especially tropical, overgrown with luxuriant and often almost impenetrable VEGETATION; a jungle [SOED, "jungle", 1].</t>
  </si>
  <si>
    <t>V_EDD\J_Physiography\011_Jungle</t>
  </si>
  <si>
    <t>VJ012-000</t>
  </si>
  <si>
    <t>Mesa</t>
  </si>
  <si>
    <t>A flat-topped HILL or tableland that is larger than a BUTTE and rises steeply from a surrounding TERRAIN_PLAIN; a mesa.</t>
  </si>
  <si>
    <t>V_EDD\J_Physiography\012_Mesa</t>
  </si>
  <si>
    <t>VJ013-000</t>
  </si>
  <si>
    <t>Mountain</t>
  </si>
  <si>
    <t>A natural elevation of TERRAIN of an altitude that is impressive or notable relative to adjacent elevations; a mountain.</t>
  </si>
  <si>
    <t>V_EDD\J_Physiography\013_Mountain</t>
  </si>
  <si>
    <t>VJ014-000</t>
  </si>
  <si>
    <t>Mountainous_Region</t>
  </si>
  <si>
    <t>A TERRAIN_SURFACE_REGION, the physiography of which consists predominantly of MOUNTAINs; a mountainous region.</t>
  </si>
  <si>
    <t>V_EDD\J_Physiography\014_Mountainous_Region</t>
  </si>
  <si>
    <t>VJ015-000</t>
  </si>
  <si>
    <t>Named_Land_Tract</t>
  </si>
  <si>
    <t>A TRACT of natural scenery, defined by its geographical characteristics and known by its proper name.</t>
  </si>
  <si>
    <t>V_EDD\J_Physiography\015_Named_Land_Tract</t>
  </si>
  <si>
    <t>VJ016-000</t>
  </si>
  <si>
    <t>Permafrost</t>
  </si>
  <si>
    <t>A layer of SOIL or BEDROCK at a variable depth beneath the SURFACE of the LAND in which the TEMPERATURE has been below freezing continuously from a few to thousands of years; permafrost.</t>
  </si>
  <si>
    <t>V_EDD\J_Physiography\016_Permafrost</t>
  </si>
  <si>
    <t>VJ017-000</t>
  </si>
  <si>
    <t>A permanent SNOWFIELD.</t>
  </si>
  <si>
    <t>V_EDD\J_Physiography\017_Permanent_Snowfield</t>
  </si>
  <si>
    <t>VJ018-000</t>
  </si>
  <si>
    <t>Planetary_Surface</t>
  </si>
  <si>
    <t>The SURFACE of a PLANET, specifically the SURFACE of the LAND and/or WATERBODYs.</t>
  </si>
  <si>
    <t>V_EDD\J_Physiography\018_Planetary_Surface</t>
  </si>
  <si>
    <t>VJ019-000</t>
  </si>
  <si>
    <t>Plateau</t>
  </si>
  <si>
    <t>An elevated TERRAIN_SURFACE_REGION that is comparatively flat-topped and of considerable extent; a plateau.</t>
  </si>
  <si>
    <t>V_EDD\J_Physiography\019_Plateau</t>
  </si>
  <si>
    <t>VJ020-000</t>
  </si>
  <si>
    <t>Polar_Cap</t>
  </si>
  <si>
    <t>A REGION of ICE or other frozen MATERIAL surrounding a PLANETARY_POLE; a polar cap [SOED, "polar cap"].</t>
  </si>
  <si>
    <t>V_EDD\J_Physiography\020_Polar_Cap</t>
  </si>
  <si>
    <t>VJ021-000</t>
  </si>
  <si>
    <t>Promontory</t>
  </si>
  <si>
    <t>A high point of LAND extending into a WATERBODY; a promontory.</t>
  </si>
  <si>
    <t>V_EDD\J_Physiography\021_Promontory</t>
  </si>
  <si>
    <t>VJ022-000</t>
  </si>
  <si>
    <t>Ridge</t>
  </si>
  <si>
    <t>Relatively high TERRAIN formed as a long and narrow crest that is surrounded by lower TERRAIN; a ridge.</t>
  </si>
  <si>
    <t>V_EDD\J_Physiography\022_Ridge</t>
  </si>
  <si>
    <t>VJ023-000</t>
  </si>
  <si>
    <t>A MATERIAL consisting of fine PARTICLEs of ROCKs (mainly siliceous); sand [SOED, "sand", 1.a].</t>
  </si>
  <si>
    <t>V_EDD\J_Physiography\023_Sand</t>
  </si>
  <si>
    <t>VJ024-000</t>
  </si>
  <si>
    <t>Sand_Bar</t>
  </si>
  <si>
    <t>A bar and/or low RIDGE of SAND along the SHORE of a LAKE, RIVER, or OCEAN that is built-up to the WATERBODY_SURFACE by WATER_WAVEs or WATER_CURRENTs.</t>
  </si>
  <si>
    <t>V_EDD\J_Physiography\024_Sand_Bar</t>
  </si>
  <si>
    <t>VJ025-000</t>
  </si>
  <si>
    <t>Snowfield</t>
  </si>
  <si>
    <t>A TRACT covered by SNOW_GROUND_COVER; a snowfield.</t>
  </si>
  <si>
    <t>V_EDD\J_Physiography\025_Snowfield</t>
  </si>
  <si>
    <t>VJ026-000</t>
  </si>
  <si>
    <t>Soil</t>
  </si>
  <si>
    <t>A MATERIAL composed of fragmented PARTICLEs of ROCK, decomposed PLANTs, WATER, and AIR that typically comprises a thin top layer of the LAND; soil [SOED, "soil", 4].</t>
  </si>
  <si>
    <t>V_EDD\J_Physiography\026_Soil</t>
  </si>
  <si>
    <t>VJ027-000</t>
  </si>
  <si>
    <t>Stone</t>
  </si>
  <si>
    <t>A piece of ROCK of a small or moderate size; a stone [SOED, "stone", A.1.a] or rock (US).</t>
  </si>
  <si>
    <t>V_EDD\J_Physiography\027_Stone</t>
  </si>
  <si>
    <t>VJ028-000</t>
  </si>
  <si>
    <t>Sugar_Cane</t>
  </si>
  <si>
    <t>A TRACT of Saccharum officinarum; sugar cane [AHD, "sugar cane"].</t>
  </si>
  <si>
    <t>V_EDD\J_Physiography\028_Sugar_Cane</t>
  </si>
  <si>
    <t>VJ029-000</t>
  </si>
  <si>
    <t>Terrain</t>
  </si>
  <si>
    <t>The SURFACE of the solid portion of a PLANET, which may or may not be covered by WATER; terrain or ground.</t>
  </si>
  <si>
    <t>V_EDD\J_Physiography\029_Terrain</t>
  </si>
  <si>
    <t>VJ030-000</t>
  </si>
  <si>
    <t>Terrain_Channel</t>
  </si>
  <si>
    <t>An elongated TERRAIN_SURFACE_REGION, especially one that is relatively narrow, whose longer sides are TERRAIN_SURFACE_REGIONs of higher TERRAIN_ELEVATION; a terrain channel. EXAMPLES CANYON, GORGE, dry riverbed.</t>
  </si>
  <si>
    <t>V_EDD\J_Physiography\030_Terrain_Channel</t>
  </si>
  <si>
    <t>VJ031-000</t>
  </si>
  <si>
    <t>Terrain_Fill</t>
  </si>
  <si>
    <t>A REGION of fill that augments a TERRAIN_SURFACE_REGION; a terrain fill.</t>
  </si>
  <si>
    <t>V_EDD\J_Physiography\031_Terrain_Fill</t>
  </si>
  <si>
    <t>VJ032-000</t>
  </si>
  <si>
    <t>Terrain_Plain</t>
  </si>
  <si>
    <t>A TERRAIN_SURFACE_REGION that is comparatively flat; a terrain plain.</t>
  </si>
  <si>
    <t>V_EDD\J_Physiography\032_Terrain_Plain</t>
  </si>
  <si>
    <t>VJ033-000</t>
  </si>
  <si>
    <t>Terrain_Strip</t>
  </si>
  <si>
    <t>A TRACT that is significantly longer in one dimension than the other; a terrain strip [SOED, "strip", 2].</t>
  </si>
  <si>
    <t>V_EDD\J_Physiography\033_Terrain_Strip</t>
  </si>
  <si>
    <t>VJ034-000</t>
  </si>
  <si>
    <t>Terrain_Surface_Region</t>
  </si>
  <si>
    <t>A REGION of TERRAIN, especially one distinguished by natural features, climate, fauna or flora; a terrain surface region [SOED, "region", 1].</t>
  </si>
  <si>
    <t>V_EDD\J_Physiography\034_Terrain_Surface_Region</t>
  </si>
  <si>
    <t>VJ035-000</t>
  </si>
  <si>
    <t>A REGION of LAND; a tract.</t>
  </si>
  <si>
    <t>V_EDD\J_Physiography\035_Tract</t>
  </si>
  <si>
    <t>VJ036-000</t>
  </si>
  <si>
    <t>Tree_Blowdown</t>
  </si>
  <si>
    <t>A TRACT on which TREEs have been blown down or otherwise levelled; tree blowdown.</t>
  </si>
  <si>
    <t>V_EDD\J_Physiography\036_Tree_Blowdown</t>
  </si>
  <si>
    <t>VJ037-000</t>
  </si>
  <si>
    <t>Valley_Region</t>
  </si>
  <si>
    <t>A low-lying TERRAIN_SURFACE_REGION located between HILLs and/or MOUNTAINs and often having a RIVER flowing through it; a valley region.</t>
  </si>
  <si>
    <t>V_EDD\J_Physiography\037_Valley_Region</t>
  </si>
  <si>
    <t>VJ038-000</t>
  </si>
  <si>
    <t>Wadi</t>
  </si>
  <si>
    <t>The dry bed of an intermittent RIVER, often with steep sides or located at the bottom of a TERRAIN_CHANNEL; a wadi, a wash, or an arroyo.</t>
  </si>
  <si>
    <t>V_EDD\J_Physiography\038_Wadi</t>
  </si>
  <si>
    <t>VJ039-000</t>
  </si>
  <si>
    <t>Waterbody_Bank</t>
  </si>
  <si>
    <t>The raised or sloping bank of LAND adjacent to a LAND_WATER_BOUNDARY; a waterbody bank.</t>
  </si>
  <si>
    <t>V_EDD\J_Physiography\039_Waterbody_Bank</t>
  </si>
  <si>
    <t>VJ040-000</t>
  </si>
  <si>
    <t>A TERRAIN_SURFACE_REGION that is inundated or saturated by surface or ground WATER at a frequency and duration sufficient to support, and that under normal circumstances does support, a prevalence of VEGETATION typically adapted for life in conditions of saturated SOIL; a wetland [AHD, "wetland"]. EXAMPLES SWAMP, MARSH, BOG.</t>
  </si>
  <si>
    <t>V_EDD\J_Physiography\040_Wetland</t>
  </si>
  <si>
    <t>VJ041-000</t>
  </si>
  <si>
    <t>Boulder_Field</t>
  </si>
  <si>
    <t>A TERRAIN_SURFACE_REGION characterized by detached masses of ROCK usually having an OUTSIDE_DIAMETER greater than 25 centimetres; a boulder field.</t>
  </si>
  <si>
    <t>V_EDD\J_Physiography\041_Boulder_Field</t>
  </si>
  <si>
    <t>Plant</t>
  </si>
  <si>
    <t>VK001-000</t>
  </si>
  <si>
    <t>Fern</t>
  </si>
  <si>
    <t>A PTERIDOPHYTE of the order Filicopsida, the members of which reproduce by means of spores borne usually on the underside of the fronds, which are typically pinnately divided; a fern [SOED, "fern"].</t>
  </si>
  <si>
    <t>V_EDD\K_Plant\001_Fern</t>
  </si>
  <si>
    <t>VK002-000</t>
  </si>
  <si>
    <t>Log</t>
  </si>
  <si>
    <t>An unhewn portion of a felled TREE; a log [SOED, "log", 1.a].</t>
  </si>
  <si>
    <t>V_EDD\K_Plant\002_Log</t>
  </si>
  <si>
    <t>VK003-000</t>
  </si>
  <si>
    <t>A LIVING_ORGANISM of the kingdom Plantae, the members of which typically are fixed to a substrate, able to subsist wholly on inorganic substances, and move chiefly by growth; a plant [SOED, "plant", 2].</t>
  </si>
  <si>
    <t>V_EDD\K_Plant\003_Plant</t>
  </si>
  <si>
    <t>VK004-000</t>
  </si>
  <si>
    <t>Pteridophyte</t>
  </si>
  <si>
    <t>A PLANT of the group Pteridophyta; a pteridophyte [SOED, "pteridophyte"]. EXAMPLES FERN, horsetail, clubmoss.</t>
  </si>
  <si>
    <t>V_EDD\K_Plant\004_Pteridophyte</t>
  </si>
  <si>
    <t>VK005-000</t>
  </si>
  <si>
    <t>Tree_Line</t>
  </si>
  <si>
    <t>A relatively linear arrangement of TREEs; a tree line [SOED, "tree line", b].</t>
  </si>
  <si>
    <t>V_EDD\K_Plant\005_Tree_Line</t>
  </si>
  <si>
    <t>VK006-000</t>
  </si>
  <si>
    <t>The PLANTs in a given REGION; vegetation [AHD, "vegetation", 2].</t>
  </si>
  <si>
    <t>V_EDD\K_Plant\006_Vegetation</t>
  </si>
  <si>
    <t>VN001-000</t>
  </si>
  <si>
    <t>An open air bath.</t>
  </si>
  <si>
    <t>V_EDD\N_Recreation\001_Open_Air_Bath</t>
  </si>
  <si>
    <t>VO001-000</t>
  </si>
  <si>
    <t>Convent</t>
  </si>
  <si>
    <t>A RELIGIOUS_COMMUNITY of women; a convent [SOED, "convent", 3].</t>
  </si>
  <si>
    <t>V_EDD\O_Religion\001_Convent</t>
  </si>
  <si>
    <t>VO002-000</t>
  </si>
  <si>
    <t>Marabout</t>
  </si>
  <si>
    <t>A SHRINE marking the burial place of an Islamic holy man; a marabout [SOED, "marabout", 2].</t>
  </si>
  <si>
    <t>V_EDD\O_Religion\002_Marabout</t>
  </si>
  <si>
    <t>VO003-000</t>
  </si>
  <si>
    <t>Mosque</t>
  </si>
  <si>
    <t>An Islamic WORSHIP_PLACE; a mosque or masjid.</t>
  </si>
  <si>
    <t>V_EDD\O_Religion\003_Mosque</t>
  </si>
  <si>
    <t>VO004-000</t>
  </si>
  <si>
    <t>A raised STRUCTURE consisting of an enclosed platform from which the preacher in a CHURCH or CHAPEL delivers the sermon; a pulpit [SOED, "pulpit", 2.a].</t>
  </si>
  <si>
    <t>V_EDD\O_Religion\004_Pulpit</t>
  </si>
  <si>
    <t>VO005-000</t>
  </si>
  <si>
    <t>Shrine</t>
  </si>
  <si>
    <t>A WORSHIP_PLACE or place for devotion; a shrine [SOED, "shrine", 6].</t>
  </si>
  <si>
    <t>V_EDD\O_Religion\005_Shrine</t>
  </si>
  <si>
    <t>VO006-000</t>
  </si>
  <si>
    <t>Stupa</t>
  </si>
  <si>
    <t>A round, usually dome-shaped, Buddhist SHRINE topped with a cupola; a stupa [SOED, "stupa"].</t>
  </si>
  <si>
    <t>V_EDD\O_Religion\006_Stupa</t>
  </si>
  <si>
    <t>VO007-000</t>
  </si>
  <si>
    <t>Synagogue</t>
  </si>
  <si>
    <t>A WORSHIP_PLACE for Jewish worship and religious instruction; a synagogue.</t>
  </si>
  <si>
    <t>V_EDD\O_Religion\007_Synagogue</t>
  </si>
  <si>
    <t>VO008-000</t>
  </si>
  <si>
    <t>Tabernacle</t>
  </si>
  <si>
    <t>A CHURCH that has been specially designated by religious authority; a tabernacle.</t>
  </si>
  <si>
    <t>V_EDD\O_Religion\008_Tabernacle</t>
  </si>
  <si>
    <t>Shelter</t>
  </si>
  <si>
    <t>VP001-000</t>
  </si>
  <si>
    <t>An oval or circular BUILDING with seats rising in tiers around the central open space, used for entertainment and/or public events; an amphitheatre [SOED, "amphitheatre", 1].</t>
  </si>
  <si>
    <t>V_EDD\P_Shelter\001_Amphitheatre</t>
  </si>
  <si>
    <t>VP002-000</t>
  </si>
  <si>
    <t>Apartment_House</t>
  </si>
  <si>
    <t>A multi-residence BUILDING containing rental accommodations for hire on a long-term basis; an apartment house.</t>
  </si>
  <si>
    <t>V_EDD\P_Shelter\002_Apartment_House</t>
  </si>
  <si>
    <t>VP003-000</t>
  </si>
  <si>
    <t>Barrack</t>
  </si>
  <si>
    <t>A BUILDING used to house MILITARY_PERSONNEL, which is typically large, unadorned, and intended for relatively temporary occupancy; a barrack.</t>
  </si>
  <si>
    <t>V_EDD\P_Shelter\003_Barrack</t>
  </si>
  <si>
    <t>VP004-000</t>
  </si>
  <si>
    <t>Camber</t>
  </si>
  <si>
    <t>A small WATERBODY_SHELTER_BASIN, usually with a narrow STRUCTURE_ENTRANCE, situated inside a HARBOUR; a camber.</t>
  </si>
  <si>
    <t>V_EDD\P_Shelter\004_Camber</t>
  </si>
  <si>
    <t>VP005-000</t>
  </si>
  <si>
    <t>Community_Recreation_Facility</t>
  </si>
  <si>
    <t>A FACILITY including one or more COMMUNITY_RECREATION_BUILDINGs.</t>
  </si>
  <si>
    <t>V_EDD\P_Shelter\005_Community_Recreation_Facility</t>
  </si>
  <si>
    <t>VP006-000</t>
  </si>
  <si>
    <t>Dwelling</t>
  </si>
  <si>
    <t>A SHELTER (for example: a BUILDING) used for living quarters; a dwelling.</t>
  </si>
  <si>
    <t>V_EDD\P_Shelter\006_Dwelling</t>
  </si>
  <si>
    <t>VP007-000</t>
  </si>
  <si>
    <t>Farm_Storage_Structure</t>
  </si>
  <si>
    <t>A STRUCTURE, often having a ROOF, located on a FARM and used for sheltering livestock and/or storing agricultural products or EQUIPMENT; a farm storage structure.</t>
  </si>
  <si>
    <t>V_EDD\P_Shelter\007_Farm_Storage_Structure</t>
  </si>
  <si>
    <t>VP008-000</t>
  </si>
  <si>
    <t>A reinforced SHELTER that is resistant to MUNITIONs and is designed for the protection of AIRCRAFT; a hardened aircraft shelter.</t>
  </si>
  <si>
    <t>V_EDD\P_Shelter\008_Hardened_Aircraft_Shelter</t>
  </si>
  <si>
    <t>VP009-000</t>
  </si>
  <si>
    <t>Industrial_Building</t>
  </si>
  <si>
    <t>A BUILDING used for the manufacture of goods or the processing of MATERIALs; an industrial building.</t>
  </si>
  <si>
    <t>V_EDD\P_Shelter\009_Industrial_Building</t>
  </si>
  <si>
    <t>VP010-000</t>
  </si>
  <si>
    <t>Manufacturing_Facility</t>
  </si>
  <si>
    <t>A FACILITY including one or more FACTORYs; a manufacturing facility.</t>
  </si>
  <si>
    <t>V_EDD\P_Shelter\010_Manufacturing_Facility</t>
  </si>
  <si>
    <t>VP011-000</t>
  </si>
  <si>
    <t>Monastery</t>
  </si>
  <si>
    <t>A RELIGIOUS_COMMUNITY of men; a monastery [SOED, "monastery"].</t>
  </si>
  <si>
    <t>V_EDD\P_Shelter\011_Monastery</t>
  </si>
  <si>
    <t>VP012-000</t>
  </si>
  <si>
    <t>Reformatory_Facility</t>
  </si>
  <si>
    <t>A FACILITY including one or more REFORMATORY_BUILDINGs; a reformatory facility.</t>
  </si>
  <si>
    <t>V_EDD\P_Shelter\012_Reformatory_Facility</t>
  </si>
  <si>
    <t>VP013-000</t>
  </si>
  <si>
    <t>Religious_Community</t>
  </si>
  <si>
    <t>A NON_EMPTY_SET of DWELLINGs, BUILDINGs, and/or other STRUCTUREs that houses a community of HUMANs under religious vows; a religious community. EXAMPLES CONVENT, MONASTERY.</t>
  </si>
  <si>
    <t>V_EDD\P_Shelter\013_Religious_Community</t>
  </si>
  <si>
    <t>VP014-000</t>
  </si>
  <si>
    <t>Rowhouse</t>
  </si>
  <si>
    <t>One of a series of essentially identical residential BUILDINGs situated side by side and sharing a common WALL; a row house.</t>
  </si>
  <si>
    <t>V_EDD\P_Shelter\014_Rowhouse</t>
  </si>
  <si>
    <t>VP015-000</t>
  </si>
  <si>
    <t>Science_Facility</t>
  </si>
  <si>
    <t>A FACILITY including one or more SCIENCE_BUILDINGs; a science facility.</t>
  </si>
  <si>
    <t>V_EDD\P_Shelter\015_Science_Facility</t>
  </si>
  <si>
    <t>VP016-000</t>
  </si>
  <si>
    <t>A STRUCTURE for protecting EQUIPMENT or HUMANs; a shelter.</t>
  </si>
  <si>
    <t>V_EDD\P_Shelter\016_Shelter</t>
  </si>
  <si>
    <t>VP017-000</t>
  </si>
  <si>
    <t>Tent</t>
  </si>
  <si>
    <t>A portable SHELTER of canvas, cloth, or similar MATERIAL that is supported by one or more POLEs and stretched and secured by LOAD_CABLEs fastened to pegs driven into the TERRAIN; a tent [SOED, "tent", 1.a].</t>
  </si>
  <si>
    <t>V_EDD\P_Shelter\017_Tent</t>
  </si>
  <si>
    <t>VP018-000</t>
  </si>
  <si>
    <t>Tent_Dwelling</t>
  </si>
  <si>
    <t>A TENT used as a DWELLING; a tent dwelling.</t>
  </si>
  <si>
    <t>V_EDD\P_Shelter\018_Tent_Dwelling</t>
  </si>
  <si>
    <t>VP019-000</t>
  </si>
  <si>
    <t>Training_Building</t>
  </si>
  <si>
    <t>A BUILDING used exclusively for training of military, police, fire, and/or rescue PERSONNEL; a training building.</t>
  </si>
  <si>
    <t>V_EDD\P_Shelter\019_Training_Building</t>
  </si>
  <si>
    <t>VP020-000</t>
  </si>
  <si>
    <t>Transportation_Building</t>
  </si>
  <si>
    <t>A BUILDING intended to facilitate the transportation of HUMANs and/or MATERIALs.</t>
  </si>
  <si>
    <t>V_EDD\P_Shelter\020_Transportation_Building</t>
  </si>
  <si>
    <t>VP021-000</t>
  </si>
  <si>
    <t>Transportation_Facility</t>
  </si>
  <si>
    <t>A FACILITY including one or more TRANSPORTATION_BUILDINGs.</t>
  </si>
  <si>
    <t>V_EDD\P_Shelter\021_Transportation_Facility</t>
  </si>
  <si>
    <t>VP022-000</t>
  </si>
  <si>
    <t>Tunnel_Shelter</t>
  </si>
  <si>
    <t>A TUNNEL for the purpose of sheltering MATERIALs, EQUIPMENT, and/or HUMANs; a tunnel shelter.</t>
  </si>
  <si>
    <t>V_EDD\P_Shelter\022_Tunnel_Shelter</t>
  </si>
  <si>
    <t>VP023-000</t>
  </si>
  <si>
    <t>A FACILITY including one or more REPAIR_BUILDINGs; a repair facility.</t>
  </si>
  <si>
    <t>V_EDD\P_Shelter\023_Repair_Facility</t>
  </si>
  <si>
    <t>VR001-000</t>
  </si>
  <si>
    <t>Electrified_Railway_Pylon</t>
  </si>
  <si>
    <t>A PYLON and/or POLE used to support a POWER_TRANSMISSION_LINE associated with an electrified RAILWAY.</t>
  </si>
  <si>
    <t>V_EDD\R_Support_Structure\001_Electrified_Railway_Pylon</t>
  </si>
  <si>
    <t>VR002-000</t>
  </si>
  <si>
    <t>A WALL forming an exterior section of a STRUCTURE.</t>
  </si>
  <si>
    <t>V_EDD\R_Support_Structure\002_Exterior_Wall</t>
  </si>
  <si>
    <t>VR003-000</t>
  </si>
  <si>
    <t>Load_Cable</t>
  </si>
  <si>
    <t>A NON_EMPTY_SET of rope, fibre, or heavy gauge steel WIREs formed into one continuous strand and used for support, lifting, hauling, and other load-supporting functions; a cable.</t>
  </si>
  <si>
    <t>V_EDD\R_Support_Structure\003_Load_Cable</t>
  </si>
  <si>
    <t>VR004-000</t>
  </si>
  <si>
    <t>Pole</t>
  </si>
  <si>
    <t>A long, slender, more or less cylindrical piece of MATERIAL (for example: wood or metal) used as a support (for example: to hold up a TENT, for VEGETATION to climb on, for supporting an ELEVATED_ELECTRICAL_CABLE, and/or for holding up scaffolding); a pole [SOED, "pole", 1.a].</t>
  </si>
  <si>
    <t>V_EDD\R_Support_Structure\004_Pole</t>
  </si>
  <si>
    <t>VR005-000</t>
  </si>
  <si>
    <t>A tall STRUCTURE erected as a support; a pylon [SOED, "pylon", 4.a].</t>
  </si>
  <si>
    <t>V_EDD\R_Support_Structure\005_Pylon</t>
  </si>
  <si>
    <t>VR006-000</t>
  </si>
  <si>
    <t>Storage_Pit</t>
  </si>
  <si>
    <t>An excavated STORAGE_STRUCTURE that is lined by an impermeable MATERIAL and surrounded with SOIL; a storage pit.</t>
  </si>
  <si>
    <t>V_EDD\R_Support_Structure\006_Storage_Pit</t>
  </si>
  <si>
    <t>VR007-000</t>
  </si>
  <si>
    <t>Structure</t>
  </si>
  <si>
    <t>A combination of COMPONENTs that are fabricated and interconnected in accordance with a design; a structure.</t>
  </si>
  <si>
    <t>V_EDD\R_Support_Structure\007_Structure</t>
  </si>
  <si>
    <t>VR008-000</t>
  </si>
  <si>
    <t>Structure_Exterior</t>
  </si>
  <si>
    <t>The NON_EMPTY_SET of EXTERIOR_WALLs and ROOF (if present) of a STRUCTURE.</t>
  </si>
  <si>
    <t>V_EDD\R_Support_Structure\008_Structure_Exterior</t>
  </si>
  <si>
    <t>VR009-000</t>
  </si>
  <si>
    <t>Structure_Perimeter</t>
  </si>
  <si>
    <t>The perimeter of a STRUCTURE.</t>
  </si>
  <si>
    <t>V_EDD\R_Support_Structure\009_Structure_Perimeter</t>
  </si>
  <si>
    <t>VR010-000</t>
  </si>
  <si>
    <t>Superstructure</t>
  </si>
  <si>
    <t>A substantial STRUCTURE resting on something else; a superstructure [SOED, "superstructure", 1].</t>
  </si>
  <si>
    <t>V_EDD\R_Support_Structure\010_Superstructure</t>
  </si>
  <si>
    <t>VR011-000</t>
  </si>
  <si>
    <t>A small APERTURE in a WALL in a defended STRUCTURE created for military purposes, typically about 20 centimetres in diameter; a wall loophole.</t>
  </si>
  <si>
    <t>V_EDD\R_Support_Structure\011_Wall_Loophole</t>
  </si>
  <si>
    <t>Surface</t>
  </si>
  <si>
    <t>VS001-000</t>
  </si>
  <si>
    <t>An outermost, limiting COMPONENT of an OBJECT that is immediately adjacent to another OBJECT (for example: an ATMOSPHERE and/or SPACE); a surface [SOED, "surface", 1.a].</t>
  </si>
  <si>
    <t>V_EDD\S_Surface\001_Surface</t>
  </si>
  <si>
    <t>VU001-000</t>
  </si>
  <si>
    <t>Data_Quality_Region</t>
  </si>
  <si>
    <t>A REGION with specific data quality characteristics.</t>
  </si>
  <si>
    <t>V_EDD\U_Survey\001_Data_Quality_Region</t>
  </si>
  <si>
    <t>VU002-000</t>
  </si>
  <si>
    <t>Depth_Contour_Line</t>
  </si>
  <si>
    <t>An ISOPLETH of constant depth at and below a SURFACE_DATUM; a depth contour.</t>
  </si>
  <si>
    <t>V_EDD\U_Survey\002_Depth_Contour_Line</t>
  </si>
  <si>
    <t>VU003-000</t>
  </si>
  <si>
    <t>Distance_Mark</t>
  </si>
  <si>
    <t>A MARKER that indicates the value of distance measured from a starting LOCATION and consists of either a solid visible STRUCTURE or a distinct LOCATION without a special installation; a distance mark.</t>
  </si>
  <si>
    <t>V_EDD\U_Survey\003_Distance_Mark</t>
  </si>
  <si>
    <t>VU004-000</t>
  </si>
  <si>
    <t>Hydrographic_Survey_Contact</t>
  </si>
  <si>
    <t>An UNDERWATER_OBJECT detected during a hydrographic survey; a hydrographic survey contact.</t>
  </si>
  <si>
    <t>V_EDD\U_Survey\004_Hydrographic_Survey_Contact</t>
  </si>
  <si>
    <t>VU005-000</t>
  </si>
  <si>
    <t>Land_Easement</t>
  </si>
  <si>
    <t>A deeded PARCEL granting easement for a specific purpose (for example: overhead POWER_TRANSMISSION_LINEs and/or access to a PARKING_GARAGE); a land easement.</t>
  </si>
  <si>
    <t>V_EDD\U_Survey\005_Land_Easement</t>
  </si>
  <si>
    <t>VU006-000</t>
  </si>
  <si>
    <t>Map</t>
  </si>
  <si>
    <t>A graphic representation of natural and artificial OBJECTs within a REGION; a map.</t>
  </si>
  <si>
    <t>V_EDD\U_Survey\006_Map</t>
  </si>
  <si>
    <t>VU007-000</t>
  </si>
  <si>
    <t>Map_Limits</t>
  </si>
  <si>
    <t>The spatial extent of the REGION represented by a MAP; map limits.</t>
  </si>
  <si>
    <t>V_EDD\U_Survey\007_Map_Limits</t>
  </si>
  <si>
    <t>VU008-000</t>
  </si>
  <si>
    <t>Sounding_Datum</t>
  </si>
  <si>
    <t>The vertical, typically tidal, SURFACE_DATUM to which SOUNDINGs and HYDROGRAPHIC_DRYING_HEIGHTs are referenced; usually taken to correspond to a low water stage of the TIDE; the sounding datum.</t>
  </si>
  <si>
    <t>V_EDD\U_Survey\008_Sounding_Datum</t>
  </si>
  <si>
    <t>VU009-000</t>
  </si>
  <si>
    <t>Surface_Datum</t>
  </si>
  <si>
    <t>A DATUM defining a SURFACE from which elevations or depths are measured. EXAMPLES VERTICAL_DATUM, SOUNDING_DATUM.</t>
  </si>
  <si>
    <t>V_EDD\U_Survey\009_Surface_Datum</t>
  </si>
  <si>
    <t>VU010-000</t>
  </si>
  <si>
    <t>Vertical_Datum</t>
  </si>
  <si>
    <t>A datum (see I19111, 4.9) to which gravity-related elevations and heights are referenced; often taken to correspond to MSL; the vertical datum.</t>
  </si>
  <si>
    <t>V_EDD\U_Survey\010_Vertical_Datum</t>
  </si>
  <si>
    <t>VX001-000</t>
  </si>
  <si>
    <t>Cargo_Container</t>
  </si>
  <si>
    <t>A large reusable CONTAINER that is designed for the efficient handling of CARGO by accommodating smaller cartons and/or cases in a single shipment.</t>
  </si>
  <si>
    <t>V_EDD\X_Trnsp\001_Cargo_Container</t>
  </si>
  <si>
    <t>VX002-000</t>
  </si>
  <si>
    <t>V_EDD\X_Trnsp\002_Catwalk</t>
  </si>
  <si>
    <t>VX003-000</t>
  </si>
  <si>
    <t>Cross_Country_Barrier</t>
  </si>
  <si>
    <t>A permanent or semi-permanent BARRIER placed across any TERRAIN to prevent GROUND_VEHICLE or pedestrian traffic.</t>
  </si>
  <si>
    <t>V_EDD\X_Trnsp\003_Cross_Country_Barrier</t>
  </si>
  <si>
    <t>VX004-000</t>
  </si>
  <si>
    <t>Mooring_Line</t>
  </si>
  <si>
    <t>A LOAD_CABLE used for mooring; a mooring line.</t>
  </si>
  <si>
    <t>V_EDD\X_Trnsp\004_Mooring_Line</t>
  </si>
  <si>
    <t>VX005-000</t>
  </si>
  <si>
    <t>Route_Component</t>
  </si>
  <si>
    <t>A COMPONENT of a ROUTE.</t>
  </si>
  <si>
    <t>V_EDD\X_Trnsp\005_Route_Component</t>
  </si>
  <si>
    <t>VX006-000</t>
  </si>
  <si>
    <t>Traffic_Separation_Scheme</t>
  </si>
  <si>
    <t>A measure for organizing a TRANSPORTATION_ROUTE that separates opposing streams of VESSELs by appropriate means, including the establishment of ROUTE_LANEs; a traffic separation scheme.</t>
  </si>
  <si>
    <t>V_EDD\X_Trnsp\006_Traffic_Separation_Scheme</t>
  </si>
  <si>
    <t>VX007-000</t>
  </si>
  <si>
    <t>Wire_Obstacle</t>
  </si>
  <si>
    <t>A TERRAIN_OBSTACLE constructed of WIRE, usually containing barbs or razors; a wire obstacle.</t>
  </si>
  <si>
    <t>V_EDD\X_Trnsp\007_Wire_Obstacle</t>
  </si>
  <si>
    <t>VY001-000</t>
  </si>
  <si>
    <t>Agricultural_Facility</t>
  </si>
  <si>
    <t>A FACILITY involved in crop production, the raising of livestock, and/or the storage or transportation of either MATERIALs important to or the results of agricultural production.</t>
  </si>
  <si>
    <t>V_EDD\Y_Usage_Region\001_Agricultural_Facility</t>
  </si>
  <si>
    <t>VY002-000</t>
  </si>
  <si>
    <t>Aircraft_Landing_Zone</t>
  </si>
  <si>
    <t>A designated REGION of a PLANETARY_SURFACE where landing by AIRCRAFT is possible; a landing zone.</t>
  </si>
  <si>
    <t>V_EDD\Y_Usage_Region\002_Aircraft_Landing_Zone</t>
  </si>
  <si>
    <t>VY003-000</t>
  </si>
  <si>
    <t>Aircraft_Storage_Tract</t>
  </si>
  <si>
    <t>A defined paved or hard-packed TRACT intended for long-term parking and storage of AIRCRAFT.</t>
  </si>
  <si>
    <t>V_EDD\Y_Usage_Region\003_Aircraft_Storage_Tract</t>
  </si>
  <si>
    <t>VY004-000</t>
  </si>
  <si>
    <t>Airstrip</t>
  </si>
  <si>
    <t>An AIRFIELD with very limited FACILITYs; an airstrip.</t>
  </si>
  <si>
    <t>V_EDD\Y_Usage_Region\004_Airstrip</t>
  </si>
  <si>
    <t>VY005-000</t>
  </si>
  <si>
    <t>Arboretum</t>
  </si>
  <si>
    <t>A culturally designated TRACT where rare TREEs are cultivated and displayed; an arboretum [SOED, "arboretum"].</t>
  </si>
  <si>
    <t>V_EDD\Y_Usage_Region\005_Arboretum</t>
  </si>
  <si>
    <t>VY006-000</t>
  </si>
  <si>
    <t>Cargo_Container_Facility</t>
  </si>
  <si>
    <t>A FACILITY used to store CARGO_CONTAINERs.</t>
  </si>
  <si>
    <t>V_EDD\Y_Usage_Region\006_Cargo_Container_Facility</t>
  </si>
  <si>
    <t>VY007-000</t>
  </si>
  <si>
    <t>City</t>
  </si>
  <si>
    <t>A concentration of DWELLINGs, COMMERCIAL_BUILDINGs, INDUSTRIAL_BUILDINGs, and other STRUCTUREs where HUMANs have settled that is larger than a TOWN and usually smaller than a BUILT_UP_REGION; a city.</t>
  </si>
  <si>
    <t>V_EDD\Y_Usage_Region\007_City</t>
  </si>
  <si>
    <t>VY008-000</t>
  </si>
  <si>
    <t>Extraction_Facility</t>
  </si>
  <si>
    <t>A FACILITY for extracting and/or exploiting natural resources; an extraction facility.</t>
  </si>
  <si>
    <t>V_EDD\Y_Usage_Region\008_Extraction_Facility</t>
  </si>
  <si>
    <t>VY009-000</t>
  </si>
  <si>
    <t>A REGION that includes MAN_MADE_OBJECTs intended to serve a particular purpose; a facility.</t>
  </si>
  <si>
    <t>V_EDD\Y_Usage_Region\009_Facility</t>
  </si>
  <si>
    <t>VY010-000</t>
  </si>
  <si>
    <t>A SITE, including support STRUCTUREs, used for agricultural or aquacultural production; a farm.</t>
  </si>
  <si>
    <t>V_EDD\Y_Usage_Region\010_Farm</t>
  </si>
  <si>
    <t>VY011-000</t>
  </si>
  <si>
    <t>Firebreak</t>
  </si>
  <si>
    <t>A cleared or ploughed TERRAIN_STRIP that is constructed as a BARRIER against the spread of a forest or prairie fire; a firebreak [SOED, "fire-break"].</t>
  </si>
  <si>
    <t>V_EDD\Y_Usage_Region\011_Firebreak</t>
  </si>
  <si>
    <t>VY012-000</t>
  </si>
  <si>
    <t>Grounds</t>
  </si>
  <si>
    <t>A large enclosed TRACT surrounding or attached to a BUILDING, most commonly a HOUSE; grounds [SOED, "ground", 13].</t>
  </si>
  <si>
    <t>V_EDD\Y_Usage_Region\012_Grounds</t>
  </si>
  <si>
    <t>VY013-000</t>
  </si>
  <si>
    <t>Heavy_Industrial_Facility</t>
  </si>
  <si>
    <t>A FACILITY devoted to the processing of MATERIAL and/or the manufacture of goods (for example: steel, aluminum, glass, or MOTOR_VEHICLEs) that generally require significant EQUIPMENT, MATERIAL, and energy inputs; a heavy industrial facility.</t>
  </si>
  <si>
    <t>V_EDD\Y_Usage_Region\013_Heavy_Industrial_Facility</t>
  </si>
  <si>
    <t>VY014-000</t>
  </si>
  <si>
    <t>Indigenous_Burial_Ground</t>
  </si>
  <si>
    <t>A CEMETERY for native peoples, generally without MEMORIAL_MONUMENTs; an indigenous burial ground.</t>
  </si>
  <si>
    <t>V_EDD\Y_Usage_Region\014_Indigenous_Burial_Ground</t>
  </si>
  <si>
    <t>VY015-000</t>
  </si>
  <si>
    <t>Indigenous_Peoples_Reserve</t>
  </si>
  <si>
    <t>A TRACTand associated STRUCTUREs set apart specifically for the use of a native people; an indigenous peoples reserve.</t>
  </si>
  <si>
    <t>V_EDD\Y_Usage_Region\015_Indigenous_Peoples_Reserve</t>
  </si>
  <si>
    <t>VY016-000</t>
  </si>
  <si>
    <t>Land_Fish_Hatchery</t>
  </si>
  <si>
    <t>A FISH_HATCHERY located entirely on LAND.</t>
  </si>
  <si>
    <t>V_EDD\Y_Usage_Region\016_Land_Fish_Hatchery</t>
  </si>
  <si>
    <t>VY017-000</t>
  </si>
  <si>
    <t>Landfill</t>
  </si>
  <si>
    <t>A TRACT used for solid waste disposal by burying refuse between layers of SOIL to fill in or reclaim low-lying LAND; a landfill [SOED, "landfill", b].</t>
  </si>
  <si>
    <t>V_EDD\Y_Usage_Region\017_Landfill</t>
  </si>
  <si>
    <t>VY018-000</t>
  </si>
  <si>
    <t>Light_Industrial_Facility</t>
  </si>
  <si>
    <t>A FACILITY devoted to the manufacture of goods (for example: electronic DEVICEs and/or computer software) that generally require only limited MATERIAL and energy inputs; a light industrial facility.</t>
  </si>
  <si>
    <t>V_EDD\Y_Usage_Region\018_Light_Industrial_Facility</t>
  </si>
  <si>
    <t>VY019-000</t>
  </si>
  <si>
    <t>Marine_Port</t>
  </si>
  <si>
    <t>A marine FACILITY, usually located in a HARBOUR, that provides terminal and transfer facilities for loading and discharging CARGO and/or passengers; a marine port.</t>
  </si>
  <si>
    <t>V_EDD\Y_Usage_Region\019_Marine_Port</t>
  </si>
  <si>
    <t>VY020-000</t>
  </si>
  <si>
    <t>Military_Facility</t>
  </si>
  <si>
    <t>A military FACILITY.</t>
  </si>
  <si>
    <t>V_EDD\Y_Usage_Region\020_Military_Facility</t>
  </si>
  <si>
    <t>VY021-000</t>
  </si>
  <si>
    <t>Municipal_Utility_Facility</t>
  </si>
  <si>
    <t>A FACILITY devoted to the provision of utility services (for example: electricity, telecommunications, gas, WATER, sewage, trash collection, and/or trash disposal) to the residents of a locally governed REGION or municipality.</t>
  </si>
  <si>
    <t>V_EDD\Y_Usage_Region\021_Municipal_Utility_Facility</t>
  </si>
  <si>
    <t>VY022-000</t>
  </si>
  <si>
    <t>Museum_Facility</t>
  </si>
  <si>
    <t>A FACILITY including one or more MUSEUM_BUILDINGs.</t>
  </si>
  <si>
    <t>V_EDD\Y_Usage_Region\022_Museum_Facility</t>
  </si>
  <si>
    <t>VY023-000</t>
  </si>
  <si>
    <t>Nuclear_Weapons_Facility</t>
  </si>
  <si>
    <t>A FACILITY used for the construction, assembly, storage, or dismantling of nuclear WEAPONs.</t>
  </si>
  <si>
    <t>V_EDD\Y_Usage_Region\023_Nuclear_Weapons_Facility</t>
  </si>
  <si>
    <t>VY024-000</t>
  </si>
  <si>
    <t>Ore_Refinery</t>
  </si>
  <si>
    <t>V_EDD\Y_Usage_Region\024_Ore_Refinery</t>
  </si>
  <si>
    <t>VY025-000</t>
  </si>
  <si>
    <t>Petroleum_Tank_Farm</t>
  </si>
  <si>
    <t>A FACILITY devoted to the storage of PETROLEUM through the use of a collection of, generally above ground, STORAGE_TANKs; a petroleum tank farm [SOED, "tank farm"].</t>
  </si>
  <si>
    <t>V_EDD\Y_Usage_Region\025_Petroleum_Tank_Farm</t>
  </si>
  <si>
    <t>VY026-000</t>
  </si>
  <si>
    <t>Prepared_Defensive_Position_Site</t>
  </si>
  <si>
    <t>A SITE containing one or more prepared DEFENSIVE_POSITIONs.</t>
  </si>
  <si>
    <t>V_EDD\Y_Usage_Region\026_Prepared_Defensive_Position_Site</t>
  </si>
  <si>
    <t>VY027-000</t>
  </si>
  <si>
    <t>Prepared_Defensive_Tract</t>
  </si>
  <si>
    <t>A TRACT containing military STRUCTUREs resistant to MUNITIONs (for example: a bastion, a RAMPART, a FORTIFICATION, a DEFENSIVE_POSITION, an INFANTRY_TRENCH, and/or a BUNKER); a prepared defensive tract.</t>
  </si>
  <si>
    <t>V_EDD\Y_Usage_Region\027_Prepared_Defensive_Tract</t>
  </si>
  <si>
    <t>VY028-000</t>
  </si>
  <si>
    <t>Recreational_Facility</t>
  </si>
  <si>
    <t>A FACILITY used for recreation; a recreational facility.</t>
  </si>
  <si>
    <t>V_EDD\Y_Usage_Region\028_Recreational_Facility</t>
  </si>
  <si>
    <t>VY029-000</t>
  </si>
  <si>
    <t>Refugee_Compound</t>
  </si>
  <si>
    <t>A FACILITY, which is usually temporary, constructed to house groups of HUMANs fleeing from their communities in search of refuge (for example: from war, political oppression, and/or religious persecution); a refugee compound.</t>
  </si>
  <si>
    <t>V_EDD\Y_Usage_Region\029_Refugee_Compound</t>
  </si>
  <si>
    <t>VY030-000</t>
  </si>
  <si>
    <t>Regional_Park</t>
  </si>
  <si>
    <t>A significant TRACT set aside for public use that generally has few or no BUILDINGs, is located away from BUILT_UP_REGIONs, and is maintained for recreational and ornamental purposes; a regional park.</t>
  </si>
  <si>
    <t>V_EDD\Y_Usage_Region\030_Regional_Park</t>
  </si>
  <si>
    <t>VY031-000</t>
  </si>
  <si>
    <t>Reserve</t>
  </si>
  <si>
    <t>A REGION set apart by a governmental body, institution, or individual for a special purpose; a reserve or reservation [SOED, "reservation", 7.a].</t>
  </si>
  <si>
    <t>V_EDD\Y_Usage_Region\031_Reserve</t>
  </si>
  <si>
    <t>VY032-000</t>
  </si>
  <si>
    <t>Residential_Region</t>
  </si>
  <si>
    <t>A REGION of BUILDINGs primarily devoted to housing a population, as well as providing a variety of supporting services (for example: a POST_OFFICE, a grocery store, a dry cleaners, a florist, a RESTAURANT, and/or a small RETAIL_FACILITY); a residential region.</t>
  </si>
  <si>
    <t>V_EDD\Y_Usage_Region\032_Residential_Region</t>
  </si>
  <si>
    <t>VY033-000</t>
  </si>
  <si>
    <t>Retail_Facility</t>
  </si>
  <si>
    <t>A FACILITY that is used for retail (for example: for the sale of goods or commodities in small quantities directly to consumers); a retail facility.</t>
  </si>
  <si>
    <t>V_EDD\Y_Usage_Region\033_Retail_Facility</t>
  </si>
  <si>
    <t>VY034-000</t>
  </si>
  <si>
    <t>Safari_Park</t>
  </si>
  <si>
    <t>An ANIMAL_PARK in which wild NON_HUMAN_ANIMALs are allowed to roam free in an environment designed to resemble their natural habitat and are observed by visitors riding through the PARK in MOTOR_VEHICLEs; a safari park.</t>
  </si>
  <si>
    <t>V_EDD\Y_Usage_Region\034_Safari_Park</t>
  </si>
  <si>
    <t>VY035-000</t>
  </si>
  <si>
    <t>A TOWN, or a section of a TOWN, consisting chiefly of shacks; a shanty town.</t>
  </si>
  <si>
    <t>V_EDD\Y_Usage_Region\035_Shanty_Town</t>
  </si>
  <si>
    <t>VY036-000</t>
  </si>
  <si>
    <t>Spaceport</t>
  </si>
  <si>
    <t>A FACILITY for the launch, and sometimes the landing, of SPACECRAFT; a spaceport [SOED, "spaceport"].</t>
  </si>
  <si>
    <t>V_EDD\Y_Usage_Region\036_Spaceport</t>
  </si>
  <si>
    <t>VY037-000</t>
  </si>
  <si>
    <t>Temporary_Encampment</t>
  </si>
  <si>
    <t>A TRACT containing a temporary, usually unsheltered, encampment [SOED, "encampment", 1]. EXAMPLE Bivouac.</t>
  </si>
  <si>
    <t>V_EDD\Y_Usage_Region\037_Temporary_Encampment</t>
  </si>
  <si>
    <t>VY038-000</t>
  </si>
  <si>
    <t>Town</t>
  </si>
  <si>
    <t>A concentration of DWELLINGs, COMMERCIAL_BUILDINGs, INDUSTRIAL_BUILDINGs, and other STRUCTUREs where HUMANs have settled that is larger than a SETTLEMENT and usually smaller than a CITY and/or BUILT_UP_REGION; a town.</t>
  </si>
  <si>
    <t>V_EDD\Y_Usage_Region\038_Town</t>
  </si>
  <si>
    <t>VY039-000</t>
  </si>
  <si>
    <t>Vessel_Storage_Anchorage</t>
  </si>
  <si>
    <t>A defined WATERBODY_REGION intended for use as a long-term ANCHORAGE and storage for VESSELs; a vessel storage anchorage.</t>
  </si>
  <si>
    <t>V_EDD\Y_Usage_Region\039_Vessel_Storage_Anchorage</t>
  </si>
  <si>
    <t>VY040-000</t>
  </si>
  <si>
    <t>Waterbody_Shelter_Basin</t>
  </si>
  <si>
    <t>A sheltered WATERBODY available for port operations and connecting with another WATERBODY (for example: an outer MARINE_PORT and/or a SEA) sometimes by means of a HYDROGRAPHIC_LOCK or passage; a waterbody shelter basin.</t>
  </si>
  <si>
    <t>V_EDD\Y_Usage_Region\040_Waterbody_Shelter_Basin</t>
  </si>
  <si>
    <t>VY041-000</t>
  </si>
  <si>
    <t>Detention_Facility</t>
  </si>
  <si>
    <t>A FACILITY for the confinement of HUMANs in lawful detention who are convicted or accused of crimes; a detention facility.</t>
  </si>
  <si>
    <t>V_EDD\Y_Usage_Region\041_Detention_Facility</t>
  </si>
  <si>
    <t>VY042-000</t>
  </si>
  <si>
    <t>Government_Facility</t>
  </si>
  <si>
    <t>A FACILITY including one or more GOVERNMENT_BUILDINGs; a government facility.</t>
  </si>
  <si>
    <t>V_EDD\Y_Usage_Region\042_Government_Facility</t>
  </si>
  <si>
    <t>Waterbody_Floor</t>
  </si>
  <si>
    <t>WA001-000</t>
  </si>
  <si>
    <t>Abyss</t>
  </si>
  <si>
    <t>A WATERBODY_FLOOR with DEPTH_OF_WATERBODY_FLOOR greater than 549 metres (approximately 1 800 feet); an abyss.</t>
  </si>
  <si>
    <t>W_EDD\A_Waterbody_Floor\001_Abyss</t>
  </si>
  <si>
    <t>WA002-000</t>
  </si>
  <si>
    <t>Bathymetric_Province</t>
  </si>
  <si>
    <t>A WATERBODY_FLOOR_PROVINCE of homogeneous bathymetric characteristics; a bathymetric province.</t>
  </si>
  <si>
    <t>W_EDD\A_Waterbody_Floor\002_Bathymetric_Province</t>
  </si>
  <si>
    <t>WA003-000</t>
  </si>
  <si>
    <t>Inland_Water_Bottom</t>
  </si>
  <si>
    <t>A bathymetric REGION underlying an INLAND_WATER_SURFACE; an inland water bottom.</t>
  </si>
  <si>
    <t>W_EDD\A_Waterbody_Floor\003_Inland_Water_Bottom</t>
  </si>
  <si>
    <t>WA004-000</t>
  </si>
  <si>
    <t>Ocean_Basin</t>
  </si>
  <si>
    <t>A TERRAIN_DEPRESSION of an OCEAN_FLOOR approximately equidimensional in plan view and of variable extent; a basin.</t>
  </si>
  <si>
    <t>W_EDD\A_Waterbody_Floor\004_Ocean_Basin</t>
  </si>
  <si>
    <t>WA005-000</t>
  </si>
  <si>
    <t>Ocean_Floor</t>
  </si>
  <si>
    <t>The WATERBODY_FLOOR of an OCEAN.</t>
  </si>
  <si>
    <t>W_EDD\A_Waterbody_Floor\005_Ocean_Floor</t>
  </si>
  <si>
    <t>WA006-000</t>
  </si>
  <si>
    <t>Seamount</t>
  </si>
  <si>
    <t>A WATERBODY_FLOOR_PINNACLE rising 1000 metres or more from the WATERBODY_FLOOR of a SEA or OCEAN and of limited extent across its summit; a seamount.</t>
  </si>
  <si>
    <t>W_EDD\A_Waterbody_Floor\006_Seamount</t>
  </si>
  <si>
    <t>WA007-000</t>
  </si>
  <si>
    <t>The floor of a WATERBODY.</t>
  </si>
  <si>
    <t>W_EDD\A_Waterbody_Floor\007_Waterbody_Floor</t>
  </si>
  <si>
    <t>WA008-000</t>
  </si>
  <si>
    <t>Waterbody_Floor_Canyon</t>
  </si>
  <si>
    <t>A deep, step-sided TERRAIN_CHANNEL in a WATERBODY_FLOOR the bottom of which grades continuously downward; a waterbody floor canyon.</t>
  </si>
  <si>
    <t>W_EDD\A_Waterbody_Floor\008_Waterbody_Floor_Canyon</t>
  </si>
  <si>
    <t>WA009-000</t>
  </si>
  <si>
    <t>Waterbody_Floor_Pinnacle</t>
  </si>
  <si>
    <t>A significant configuration of WATERBODY_FLOOR topography generally round in shape as viewed from above and of reduced depth at its centre; a waterbody floor pinnacle.</t>
  </si>
  <si>
    <t>W_EDD\A_Waterbody_Floor\009_Waterbody_Floor_Pinnacle</t>
  </si>
  <si>
    <t>WA010-000</t>
  </si>
  <si>
    <t>Waterbody_Floor_Province</t>
  </si>
  <si>
    <t>A WATERBODY_FLOOR_REGION identifiable by shared physiographic characteristics that are markedly in contrast with those in the adjacent WATERBODY_FLOOR_REGIONs; a waterbody floor province.</t>
  </si>
  <si>
    <t>W_EDD\A_Waterbody_Floor\010_Waterbody_Floor_Province</t>
  </si>
  <si>
    <t>WA011-000</t>
  </si>
  <si>
    <t>Waterbody_Floor_Region</t>
  </si>
  <si>
    <t>A REGION of a WATERBODY_FLOOR.</t>
  </si>
  <si>
    <t>W_EDD\A_Waterbody_Floor\011_Waterbody_Floor_Region</t>
  </si>
  <si>
    <t>WA012-000</t>
  </si>
  <si>
    <t>Waterbody_Floor_Ridge</t>
  </si>
  <si>
    <t>A RIDGE with steep sides and either irregular or smooth topography in a WATERBODY_FLOOR, often separating WATERBODY_BASINs; a ridge.</t>
  </si>
  <si>
    <t>W_EDD\A_Waterbody_Floor\012_Waterbody_Floor_Ridge</t>
  </si>
  <si>
    <t>WA013-000</t>
  </si>
  <si>
    <t>Waterbody_Floor_Trench</t>
  </si>
  <si>
    <t>A significant long, narrow, and characteristically very deep and asymmetrical TERRAIN_CHANNEL in a WATERBODY_FLOOR, with relatively steep sides; a trench.</t>
  </si>
  <si>
    <t>W_EDD\A_Waterbody_Floor\013_Waterbody_Floor_Trench</t>
  </si>
  <si>
    <t>Waterbody_Surface</t>
  </si>
  <si>
    <t>WC001-000</t>
  </si>
  <si>
    <t>Ice_Sludge</t>
  </si>
  <si>
    <t>Spongy whitish lumps of ICE a few centimetres in OUTSIDE_DIAMETER that are floating on the WATERBODY_SURFACE of a shallow SEA; ice sludge.</t>
  </si>
  <si>
    <t>W_EDD\C_Waterbody_Surface\001_Ice_Sludge</t>
  </si>
  <si>
    <t>WC003-000</t>
  </si>
  <si>
    <t>Overfall_Region</t>
  </si>
  <si>
    <t>A WATERBODY_REGION where short, breaking WATER_WAVEs are formed on the WATERBODY_SURFACE when a strong WATER_CURRENT passes over a SHOAL or other submarine obstruction or meets a contrary WATER_CURRENT or WIND; an overfall region.</t>
  </si>
  <si>
    <t>W_EDD\C_Waterbody_Surface\003_Overfall_Region</t>
  </si>
  <si>
    <t>WC004-000</t>
  </si>
  <si>
    <t>Plankton_Bloom</t>
  </si>
  <si>
    <t>An enormous concentration of PLANKTON in a WATERBODY, caused either by an explosive or a gradual multiplication and usually producing an obvious change in the physical appearance of the WATERBODY_SURFACE_REGION, such as discolouration; a plankton bloom.</t>
  </si>
  <si>
    <t>W_EDD\C_Waterbody_Surface\004_Plankton_Bloom</t>
  </si>
  <si>
    <t>WC005-000</t>
  </si>
  <si>
    <t>Pressure_Ice</t>
  </si>
  <si>
    <t>ICE located in a SEA, RIVER, or LAKE that has been deformed or altered by the lateral stresses of any combination of WIND, TIDEs, WATER_WAVEs, and SURF; pressure ice.</t>
  </si>
  <si>
    <t>W_EDD\C_Waterbody_Surface\005_Pressure_Ice</t>
  </si>
  <si>
    <t>WC007-000</t>
  </si>
  <si>
    <t>Spring_Tide</t>
  </si>
  <si>
    <t>The TIDEs of increased range occurring near the times of the full and new MOON_PHASEs.</t>
  </si>
  <si>
    <t>W_EDD\C_Waterbody_Surface\007_Spring_Tide</t>
  </si>
  <si>
    <t>WC008-000</t>
  </si>
  <si>
    <t>Surf</t>
  </si>
  <si>
    <t>The belt of nearly continuous, breaking WATER_WAVEs along a SHORE or over a submerged bank or SAND_BAR; surf.</t>
  </si>
  <si>
    <t>W_EDD\C_Waterbody_Surface\008_Surf</t>
  </si>
  <si>
    <t>WC010-000</t>
  </si>
  <si>
    <t>Tidal_Basin</t>
  </si>
  <si>
    <t>A WATERBODY_SHELTER_BASIN affected by tidal forces in which WATER can be kept at a desired level by means of a MARINE_GATE; a tidal basin.</t>
  </si>
  <si>
    <t>W_EDD\C_Waterbody_Surface\010_Tidal_Basin</t>
  </si>
  <si>
    <t>WC013-000</t>
  </si>
  <si>
    <t>The SURFACE of a WATERBODY.</t>
  </si>
  <si>
    <t>W_EDD\C_Waterbody_Surface\013_Waterbody_Surface</t>
  </si>
  <si>
    <t>WC015-000</t>
  </si>
  <si>
    <t>Iceberg</t>
  </si>
  <si>
    <t>A very large mass of ICE floating loose in a WATERBODY after becoming detached from a GLACIER or ICE_SHELF; an iceberg [SOED, "iceberg", 2].</t>
  </si>
  <si>
    <t>W_EDD\C_Waterbody_Surface\015_Iceberg</t>
  </si>
  <si>
    <t>WC016-000</t>
  </si>
  <si>
    <t>Surf_Zone</t>
  </si>
  <si>
    <t>The REGION between the outermost limit of SURF and the resulting limit of WATER_WAVE uprush on a SHORE; a surf zone.</t>
  </si>
  <si>
    <t>W_EDD\C_Waterbody_Surface\016_Surf_Zone</t>
  </si>
  <si>
    <t>WC017-000</t>
  </si>
  <si>
    <t>Waterbody_Surface_Region</t>
  </si>
  <si>
    <t>A REGION of a WATERBODY_SURFACE.</t>
  </si>
  <si>
    <t>W_EDD\C_Waterbody_Surface\017_Waterbody_Surface_Region</t>
  </si>
  <si>
    <t>WC018-000</t>
  </si>
  <si>
    <t>Waterbody_Surface_Slick</t>
  </si>
  <si>
    <t>A WATERBODY_SURFACE_REGION that is variable in size and markedly different in appearance (for example: in colour and/or oiliness) from adjacent WATERBODY_SURFACE_REGIONs; a slick.</t>
  </si>
  <si>
    <t>W_EDD\C_Waterbody_Surface\018_Waterbody_Surface_Slick</t>
  </si>
  <si>
    <t>Control_Point</t>
  </si>
  <si>
    <t>ZB020-000</t>
  </si>
  <si>
    <t>Benchmark</t>
  </si>
  <si>
    <t>A reference mark on a permanent object indicating elevation relative to an established datum.</t>
  </si>
  <si>
    <t>Z_General\B_Control_Point\020_Benchmark</t>
  </si>
  <si>
    <t>ZB030-000</t>
  </si>
  <si>
    <t>Boundary_Monument</t>
  </si>
  <si>
    <t>A marker identifying the location of a surveyed boundary line.</t>
  </si>
  <si>
    <t>Z_General\B_Control_Point\030_Boundary_Monument</t>
  </si>
  <si>
    <t>ZB031-000</t>
  </si>
  <si>
    <t>Unmonumented_Point</t>
  </si>
  <si>
    <t>A formally recognized survey or reference point which is not represented by a physical boundary monument or benchmark.</t>
  </si>
  <si>
    <t>Z_General\B_Control_Point\031_Unmonumented_Point</t>
  </si>
  <si>
    <t>ZB032-000</t>
  </si>
  <si>
    <t>Baseline_Point</t>
  </si>
  <si>
    <t>A location that serves as a point on, and which partially defines a segment of, a national boundary baseline.</t>
  </si>
  <si>
    <t>Z_General\B_Control_Point\032_Baseline_Point</t>
  </si>
  <si>
    <t>ZB035-000</t>
  </si>
  <si>
    <t>An object or mark on the ground of known position, elevation, or both.</t>
  </si>
  <si>
    <t>Z_General\B_Control_Point\035_Control_Point</t>
  </si>
  <si>
    <t>ZB036-000</t>
  </si>
  <si>
    <t>A mark which indicates the value of distance measured from an origin and consists of either a solid visible structure or a distinct location without special installation.</t>
  </si>
  <si>
    <t>Z_General\B_Control_Point\036_Distance_Mark</t>
  </si>
  <si>
    <t>ZB040-000</t>
  </si>
  <si>
    <t>Diagnostic_Point</t>
  </si>
  <si>
    <t>A point used to check system accuracy. (Retired; this is one of a set of registration marks on an aerial image provided to align the image with known ground locations).</t>
  </si>
  <si>
    <t>Z_General\B_Control_Point\040_Diagnostic_Point</t>
  </si>
  <si>
    <t>ZB060-000</t>
  </si>
  <si>
    <t>Geodetic_Point</t>
  </si>
  <si>
    <t>A physical point on the Earth's surface having a surveyed position (e.g. Trig Points).</t>
  </si>
  <si>
    <t>Z_General\B_Control_Point\060_Geodetic_Point</t>
  </si>
  <si>
    <t>ZC040-000</t>
  </si>
  <si>
    <t>Magnetic_Disturbance</t>
  </si>
  <si>
    <t>A localized anomaly in the Earth's magnetic field.</t>
  </si>
  <si>
    <t>Z_General\C_Magnetic_Variation\040_Magnetic_Disturbance</t>
  </si>
  <si>
    <t>ZC050-000</t>
  </si>
  <si>
    <t>Isogonic_Line</t>
  </si>
  <si>
    <t>Lines connecting points of equal magnetic variation.</t>
  </si>
  <si>
    <t>Z_General\C_Magnetic_Variation\050_Isogonic_Line</t>
  </si>
  <si>
    <t>ZC051-000</t>
  </si>
  <si>
    <t>Magnetic_Pole</t>
  </si>
  <si>
    <t>Either of the two places on the Earth's surface where the magnetic dip is 90 degrees.</t>
  </si>
  <si>
    <t>Z_General\C_Magnetic_Variation\051_Magnetic_Pole</t>
  </si>
  <si>
    <t>ZC500-000</t>
  </si>
  <si>
    <t>Geophysical_Anomaly</t>
  </si>
  <si>
    <t>An area where one or more geophysical parameters differ from the surroundings due to inhomogeneities in the underground composition.</t>
  </si>
  <si>
    <t>Z_General\C_Magnetic_Variation\500_Geophysical_Anomaly</t>
  </si>
  <si>
    <t>ZD001-000</t>
  </si>
  <si>
    <t>Network</t>
  </si>
  <si>
    <t>A system of inter-connected real world objects of the same type or directly related types. (Retired; not known to be used and prefered encoding would be based on specific type of network (e.g., road, railway, power line).</t>
  </si>
  <si>
    <t>Z_General\D_Misc\001_Network</t>
  </si>
  <si>
    <t>ZD003-000</t>
  </si>
  <si>
    <t>Artifact</t>
  </si>
  <si>
    <t>An indicator which identifies incomplete or illogical data at a specific location (node), used for data processing only. (Retired; intended for data processing purposes only and best handled either using metadata or in a system-specific manner).</t>
  </si>
  <si>
    <t>Z_General\D_Misc\003_Artifact</t>
  </si>
  <si>
    <t>ZD012-000</t>
  </si>
  <si>
    <t>Geographic</t>
  </si>
  <si>
    <t>A location where geographic information or statistics may apply.</t>
  </si>
  <si>
    <t>Z_General\D_Misc\012_Geographic</t>
  </si>
  <si>
    <t>ZD015-000</t>
  </si>
  <si>
    <t>Point_of_Change</t>
  </si>
  <si>
    <t>The location/position on a linear feature where the characteristics of the feature change significantly.</t>
  </si>
  <si>
    <t>Z_General\D_Misc\015_Point_of_Change</t>
  </si>
  <si>
    <t>ZD019-000</t>
  </si>
  <si>
    <t>Misc_Feature_Type</t>
  </si>
  <si>
    <t>Any feature type that falls within the scope of a feature type domain (for example: a feature coverage or a product specification) but is not explicitly specified in that domain.</t>
  </si>
  <si>
    <t>Z_General\D_Misc\019_Misc_Feature_Type</t>
  </si>
  <si>
    <t>ZD020-000</t>
  </si>
  <si>
    <t>Void_Collection_Area</t>
  </si>
  <si>
    <t>An area lacking suitable source coverage, or where data is not required.</t>
  </si>
  <si>
    <t>Z_General\D_Misc\020_Void_Collection_Area</t>
  </si>
  <si>
    <t>ZD030-000</t>
  </si>
  <si>
    <t>Cultural_Context_Location</t>
  </si>
  <si>
    <t>A location that normally does not appear as a specific, characterized object but that represents an area where a specific cultural factor (for example: religion, ethnicity, language, or tribal/clan affiliation) predominates.</t>
  </si>
  <si>
    <t>Z_General\D_Misc\030_Cultural_Context_Location</t>
  </si>
  <si>
    <t>ZD040</t>
  </si>
  <si>
    <t>Z_General\D_Misc\040_Named_Location</t>
  </si>
  <si>
    <t>ZD040-000</t>
  </si>
  <si>
    <t>Location_Generic</t>
  </si>
  <si>
    <t>A LOCATION that normally does not appear as a specific, characterized OBJECT on a MAP but has a name that is required to be placed on the MAP. NOTE: Sub-code matches DIGEST 2.1 Location Category</t>
  </si>
  <si>
    <t>ZD040-001</t>
  </si>
  <si>
    <t>Above_Surface_HK</t>
  </si>
  <si>
    <t>A location that normally does not appear as a specific, characterized object on a map but has a name that is required to be placed on the map. Sub-code matches DIGEST 2.1 Location Category</t>
  </si>
  <si>
    <t>ZD040-002</t>
  </si>
  <si>
    <t>Awash</t>
  </si>
  <si>
    <t>ZD040-003</t>
  </si>
  <si>
    <t>Dries_HU</t>
  </si>
  <si>
    <t>ZD040-004</t>
  </si>
  <si>
    <t>Below_Water_Surface</t>
  </si>
  <si>
    <t>ZD040-005</t>
  </si>
  <si>
    <t>Covered1</t>
  </si>
  <si>
    <t>ZD040-006</t>
  </si>
  <si>
    <t>Covered2</t>
  </si>
  <si>
    <t>ZD040-007</t>
  </si>
  <si>
    <t>Covered3</t>
  </si>
  <si>
    <t>ZD040-008</t>
  </si>
  <si>
    <t>On_Ground_Surface</t>
  </si>
  <si>
    <t>ZD040-009</t>
  </si>
  <si>
    <t>Depth_Known1</t>
  </si>
  <si>
    <t>ZD040-010</t>
  </si>
  <si>
    <t>Depth_Known2</t>
  </si>
  <si>
    <t>ZD040-011</t>
  </si>
  <si>
    <t>Depth_Unknown1</t>
  </si>
  <si>
    <t>ZD040-013</t>
  </si>
  <si>
    <t>Hull_Showing</t>
  </si>
  <si>
    <t>ZD040-014</t>
  </si>
  <si>
    <t>Masts_Showing</t>
  </si>
  <si>
    <t>ZD040-015</t>
  </si>
  <si>
    <t>Floating</t>
  </si>
  <si>
    <t>ZD040-016</t>
  </si>
  <si>
    <t>Partially_Submerged</t>
  </si>
  <si>
    <t>ZD040-017</t>
  </si>
  <si>
    <t>Sunken</t>
  </si>
  <si>
    <t>ZD040-019</t>
  </si>
  <si>
    <t>Above_Surface_HU</t>
  </si>
  <si>
    <t>ZD040-020</t>
  </si>
  <si>
    <t>Funnel_Showing</t>
  </si>
  <si>
    <t>ZD040-021</t>
  </si>
  <si>
    <t>Superstructure_Showing</t>
  </si>
  <si>
    <t>ZD040-022</t>
  </si>
  <si>
    <t>Off_Shore</t>
  </si>
  <si>
    <t>ZD040-023</t>
  </si>
  <si>
    <t>Below_Sea_Bottom</t>
  </si>
  <si>
    <t>ZD040-024</t>
  </si>
  <si>
    <t>Above_Sea_Bottom</t>
  </si>
  <si>
    <t>ZD040-025</t>
  </si>
  <si>
    <t>Above_Surface</t>
  </si>
  <si>
    <t>ZD040-028</t>
  </si>
  <si>
    <t>ZD040-030</t>
  </si>
  <si>
    <t>Non-Floating</t>
  </si>
  <si>
    <t>ZD040-031</t>
  </si>
  <si>
    <t>Elevated</t>
  </si>
  <si>
    <t>ZD040-032</t>
  </si>
  <si>
    <t>Depressed</t>
  </si>
  <si>
    <t>ZD040-033</t>
  </si>
  <si>
    <t>Not_submerged</t>
  </si>
  <si>
    <t>ZD040-034</t>
  </si>
  <si>
    <t>Inland</t>
  </si>
  <si>
    <t>ZD040-035</t>
  </si>
  <si>
    <t>ZD040-036</t>
  </si>
  <si>
    <t>Height_Above_Bottom</t>
  </si>
  <si>
    <t>ZD040-037</t>
  </si>
  <si>
    <t>Exact_Position_Known</t>
  </si>
  <si>
    <t>ZD040-038</t>
  </si>
  <si>
    <t>Exact_Position_Unknown</t>
  </si>
  <si>
    <t>ZD040-039</t>
  </si>
  <si>
    <t>Depth_Unknown2</t>
  </si>
  <si>
    <t>ZD040-040</t>
  </si>
  <si>
    <t>Underground</t>
  </si>
  <si>
    <t>ZD040-999</t>
  </si>
  <si>
    <t>ZD045-000</t>
  </si>
  <si>
    <t>Text_Description</t>
  </si>
  <si>
    <t>A location at which text pertaining to that location is annotated.</t>
  </si>
  <si>
    <t>Z_General\D_Misc\045_Text_Description</t>
  </si>
  <si>
    <t>ZI001-000</t>
  </si>
  <si>
    <t>Source_Info</t>
  </si>
  <si>
    <t>A modeling entity collecting information about the source data that was used to define, review and/or update the digital representation of a feature and/or attribute.</t>
  </si>
  <si>
    <t>Z_General\I_FDD\001_Source_Info</t>
  </si>
  <si>
    <t>ZI002-000</t>
  </si>
  <si>
    <t>Restriction_Info</t>
  </si>
  <si>
    <t>A modeling entity collecting information about restriction(s) and/or security control(s) applicable to dissemination of data regarding the digital representation of the feature or attribute.</t>
  </si>
  <si>
    <t>Z_General\I_FDD\002_Restriction_Info</t>
  </si>
  <si>
    <t>ZI003-000</t>
  </si>
  <si>
    <t>Identification_Info</t>
  </si>
  <si>
    <t>A modeling entity collecting information about an identifier that is used to uniquely specify an instance of the entity type in a specified scope.</t>
  </si>
  <si>
    <t>Z_General\I_FDD\003_Identification_Info</t>
  </si>
  <si>
    <t>ZI004-000</t>
  </si>
  <si>
    <t>Process_Step_Info</t>
  </si>
  <si>
    <t>A modeling entity collecting information about the processing activity(ies) that were used to define, review and/or update the digital representation of a feature and/or attribute.</t>
  </si>
  <si>
    <t>Z_General\I_FDD\004_Process_Step_Info</t>
  </si>
  <si>
    <t>ZI005-000</t>
  </si>
  <si>
    <t>Geo_Name_Info</t>
  </si>
  <si>
    <t>A modeling entity specifying both a name used to denote a feature and related information establishing the context for, and use of, that name.</t>
  </si>
  <si>
    <t>Z_General\I_FDD\005_Geo_Name_Info</t>
  </si>
  <si>
    <t>ZI006-000</t>
  </si>
  <si>
    <t>Note</t>
  </si>
  <si>
    <t>A modeling entity collecting unstructured information about the feature, attribute, or related information modeling entity.</t>
  </si>
  <si>
    <t>Z_General\I_FDD\006_Note</t>
  </si>
  <si>
    <t>ZI007-000</t>
  </si>
  <si>
    <t>Point_Geometry_Info</t>
  </si>
  <si>
    <t>A modeling entity collecting geometric representation information about a feature that is modeled as a spatial point.</t>
  </si>
  <si>
    <t>Z_General\I_FDD\007_Point_Geometry_Info</t>
  </si>
  <si>
    <t>ZI008-000</t>
  </si>
  <si>
    <t>Curve_Geometry_Info</t>
  </si>
  <si>
    <t>A modeling entity collecting geometric representation information about a feature that is modeled as a spatial curve.</t>
  </si>
  <si>
    <t>Z_General\I_FDD\008_Curve_Geometry_Info</t>
  </si>
  <si>
    <t>ZI009-000</t>
  </si>
  <si>
    <t>Surface_Geometry_Info</t>
  </si>
  <si>
    <t>A modeling entity collecting geometric representation information about a feature that is modeled as a spatial surface.</t>
  </si>
  <si>
    <t>Z_General\I_FDD\009_Surface_Geometry_Info</t>
  </si>
  <si>
    <t>ZI010-000</t>
  </si>
  <si>
    <t>Horiz_Coord_Metadata</t>
  </si>
  <si>
    <t>A modeling entity collecting information about the basis for, and quality of, the horizontal coordinates and/or horizontal dimensional measures of the digital representation of a feature and/or attribute.</t>
  </si>
  <si>
    <t>Z_General\I_FDD\010_Horiz_Coord_Metadata</t>
  </si>
  <si>
    <t>ZI011-000</t>
  </si>
  <si>
    <t>Vert_Coord_Metadata</t>
  </si>
  <si>
    <t>A modeling entity collecting information about the basis for, and quality of, the vertical coordinates and/or vertical dimensional measures of the digital representation of a feature and/or attribute.</t>
  </si>
  <si>
    <t>Z_General\I_FDD\011_Vert_Coord_Metadata</t>
  </si>
  <si>
    <t>ZI012-000</t>
  </si>
  <si>
    <t>Sounding_Metadata</t>
  </si>
  <si>
    <t>A modeling entity collecting information about the basis for, and quality of, coordinates and/or dimensional measures of the digital representation of a feature and/or attribute related to a hydrographic sounding datum.</t>
  </si>
  <si>
    <t>Z_General\I_FDD\012_Sounding_Metadata</t>
  </si>
  <si>
    <t>ZI013-000</t>
  </si>
  <si>
    <t>Crop_Info</t>
  </si>
  <si>
    <t>A modeling entity collecting information about the exploitation of vegetal and animal natural resources, including the activities of growing crops, raising animals, harvesting timber, and harvesting other plants, animals or animal products from a farm or their natural habitats.</t>
  </si>
  <si>
    <t>Z_General\I_FDD\013_Crop_Info</t>
  </si>
  <si>
    <t>ZI014-000</t>
  </si>
  <si>
    <t>Manufacturing_Info</t>
  </si>
  <si>
    <t>A modeling entity collecting information about the physical or chemical transformation of materials, substances, or components into new products.</t>
  </si>
  <si>
    <t>Z_General\I_FDD\014_Manufacturing_Info</t>
  </si>
  <si>
    <t>ZI015-000</t>
  </si>
  <si>
    <t>Geo_Name_Collection</t>
  </si>
  <si>
    <t>A modeling entity collecting the set of geographic name(s) used to denote a feature along with a geographic location suitable for use in a gazetteer.</t>
  </si>
  <si>
    <t>Z_General\I_FDD\015_Geo_Name_Collection</t>
  </si>
  <si>
    <t>ZI016-000</t>
  </si>
  <si>
    <t>Route_Pavement_Info</t>
  </si>
  <si>
    <t>A modeling entity collecting information about a route pavement, a durable surface for an area intended to sustain traffic (for example: vehicular traffic or foot traffic).</t>
  </si>
  <si>
    <t>Z_General\I_FDD\016_Route_Pavement_Info</t>
  </si>
  <si>
    <t>ZI017-000</t>
  </si>
  <si>
    <t>Track_Info</t>
  </si>
  <si>
    <t>A modeling entity collecting information about a railway track.</t>
  </si>
  <si>
    <t>Z_General\I_FDD\017_Track_Info</t>
  </si>
  <si>
    <t>ZI018-000</t>
  </si>
  <si>
    <t>Wireless_Telecom_Info</t>
  </si>
  <si>
    <t>A modeling entity collecting information about a wireless telecommunication service (for example: radio broadcast or digital mobile phone service).</t>
  </si>
  <si>
    <t>Z_General\I_FDD\018_Wireless_Telecom_Info</t>
  </si>
  <si>
    <t>ZI019-000</t>
  </si>
  <si>
    <t>Aerodrome_Pavement_Info</t>
  </si>
  <si>
    <t>A modeling entity collecting information about aircraft pavements at aerodromes and heliports.</t>
  </si>
  <si>
    <t>Z_General\I_FDD\019_Aerodrome_Pavement_Info</t>
  </si>
  <si>
    <t>ZI020-000</t>
  </si>
  <si>
    <t>Geopolitical_Entity_Desig</t>
  </si>
  <si>
    <t>A modeling entity collecting information about designations (for example: standardized names or codes) for a geopolitical entity (for example: a State).</t>
  </si>
  <si>
    <t>Z_General\I_FDD\020_Geopolitical_Entity_Desig</t>
  </si>
  <si>
    <t>ZI021-000</t>
  </si>
  <si>
    <t>Admin_Division_Desig</t>
  </si>
  <si>
    <t>A modeling entity collecting information about designations (for example: standardized names or codes) for a subordinate administrative division (for example: a (US) state, a (UK) county, a (US) township, a (CA) province, a (FR) arrondissement, a (CH) canton, a (GE) laender and a (FR) commune) of a geopolitical entity (for example: a State).</t>
  </si>
  <si>
    <t>Z_General\I_FDD\021_Admin_Division_Desig</t>
  </si>
  <si>
    <t>ZI024-000</t>
  </si>
  <si>
    <t>Water_Resource_Info</t>
  </si>
  <si>
    <t>A modeling entity collecting information (for example: its permanence, mineral content and potability) about a water resource.</t>
  </si>
  <si>
    <t>Z_General\I_FDD\024_Water_Resource_Info</t>
  </si>
  <si>
    <t>ZI025-000</t>
  </si>
  <si>
    <t>Hydro_Vert_Positioning_Info</t>
  </si>
  <si>
    <t>A modeling entity collecting information about the vertical position (for example: the depth from a sounding datum) of a hydrographic object (for example: a pinnacle or a wreck).</t>
  </si>
  <si>
    <t>Z_General\I_FDD\025_Hydro_Vert_Positioning_Info</t>
  </si>
  <si>
    <t>ZI026-000</t>
  </si>
  <si>
    <t>Feature_G_A_Metadata</t>
  </si>
  <si>
    <t>A modeling entity collecting assurance information about the quality of the digital representation of a Geospatial Intelligence (GEOINT) feature and its properties (attributes and associations).</t>
  </si>
  <si>
    <t>Z_General\I_FDD\026_Feature_G_A_Metadata</t>
  </si>
  <si>
    <t>ZI027-000</t>
  </si>
  <si>
    <t>Feature_Att_G_A_Metadata</t>
  </si>
  <si>
    <t>A modeling entity collecting assurance information about the quality of the digital representation of a Geospatial Intelligence (GEOINT) feature attribute.</t>
  </si>
  <si>
    <t>Z_General\I_FDD\027_Feature_Att_G_A_Metadata</t>
  </si>
  <si>
    <t>ZI028-000</t>
  </si>
  <si>
    <t>Feature_Entity</t>
  </si>
  <si>
    <t>An abstract modeling entity serving as a superclass that collects shared properties (attributes and associations) of feature types.</t>
  </si>
  <si>
    <t>Z_General\I_FDD\028_Feature_Entity</t>
  </si>
  <si>
    <t>ZI029-000</t>
  </si>
  <si>
    <t>Geometry_Info</t>
  </si>
  <si>
    <t>An abstract modeling entity serving as a superclass that collects shared properties (attributes and associations) of modeling entities that specify geometric representation information about a feature.</t>
  </si>
  <si>
    <t>Z_General\I_FDD\029_Geometry_Info</t>
  </si>
  <si>
    <t>ZI030-000</t>
  </si>
  <si>
    <t>Event_Entity</t>
  </si>
  <si>
    <t>An abstract modeling entity serving as a superclass that collects shared properties (attributes and associations) of event types.</t>
  </si>
  <si>
    <t>Z_General\I_FDD\030_Event_Entity</t>
  </si>
  <si>
    <t>ZI031-000</t>
  </si>
  <si>
    <t>Dataset</t>
  </si>
  <si>
    <t>A resource that is a set of instances of one or more modeling entities selected according to a single rationale (for example: a common production or publication process).</t>
  </si>
  <si>
    <t>Z_General\I_FDD\031_Dataset</t>
  </si>
  <si>
    <t>ZI032-000</t>
  </si>
  <si>
    <t>Pylon_Info</t>
  </si>
  <si>
    <t>A modeling entity collecting information (for example: its shape and material) about a pylon.</t>
  </si>
  <si>
    <t>Z_General\I_FDD\032_Pylon_Info</t>
  </si>
  <si>
    <t>ZI033-000</t>
  </si>
  <si>
    <t>Series</t>
  </si>
  <si>
    <t>A set of related resources (for example: datasets) that share common metadata (for example: theme, source date, resolution, and methodology).</t>
  </si>
  <si>
    <t>Z_General\I_FDD\033_Series</t>
  </si>
  <si>
    <t>ZI034-000</t>
  </si>
  <si>
    <t>Entity</t>
  </si>
  <si>
    <t>An abstract modeling entity serving as a superclass that collects shared properties (attributes and associations).</t>
  </si>
  <si>
    <t>Z_General\I_FDD\034_Entity</t>
  </si>
  <si>
    <t>ZI035-000</t>
  </si>
  <si>
    <t>Entity_Collection</t>
  </si>
  <si>
    <t>A resource that collects instances of one or more modeling entities according to a common rationale (for example: based on a theme or spatial region).</t>
  </si>
  <si>
    <t>Z_General\I_FDD\035_Entity_Collection</t>
  </si>
  <si>
    <t>ZI036-000</t>
  </si>
  <si>
    <t>Information_Entity</t>
  </si>
  <si>
    <t>An abstract modeling entity serving as a superclass that collects shared properties (attributes and associations) of information types.</t>
  </si>
  <si>
    <t>Z_General\I_FDD\036_Information_Entity</t>
  </si>
  <si>
    <t>ZI037-000</t>
  </si>
  <si>
    <t>Religious_Info</t>
  </si>
  <si>
    <t>A modeling entity collecting information about the religious significance and/or characteristics of features.</t>
  </si>
  <si>
    <t>Z_General\I_FDD\037_Religious_Info</t>
  </si>
  <si>
    <t>ZV010-000</t>
  </si>
  <si>
    <t>Anti_Shipping_Activity</t>
  </si>
  <si>
    <t>An occurrence of criminal action against a ship.</t>
  </si>
  <si>
    <t>Z_General\V_FDD\010_Anti_Shipping_Activity</t>
  </si>
  <si>
    <t>GGDM</t>
  </si>
  <si>
    <t>Subtype Field: Road_C</t>
  </si>
  <si>
    <t>Field Name Code</t>
  </si>
  <si>
    <t xml:space="preserve">(Field Name) Attribute or Enumerant Name </t>
  </si>
  <si>
    <t>Attribute Code</t>
  </si>
  <si>
    <t>Attribute Code Definition</t>
  </si>
  <si>
    <t>Datatype</t>
  </si>
  <si>
    <t>Attribute or Enumerant Definition</t>
  </si>
  <si>
    <t>RTY</t>
  </si>
  <si>
    <t>Roadway Type</t>
  </si>
  <si>
    <t>Enumeration</t>
  </si>
  <si>
    <t>RTY:3</t>
  </si>
  <si>
    <t>3 = Road</t>
  </si>
  <si>
    <t>CMIX</t>
  </si>
  <si>
    <t>CNAM</t>
  </si>
  <si>
    <t>EJID</t>
  </si>
  <si>
    <t>LENL</t>
  </si>
  <si>
    <t>RTAI</t>
  </si>
  <si>
    <t>SJID</t>
  </si>
  <si>
    <t>String</t>
  </si>
  <si>
    <t>Mandatory</t>
  </si>
  <si>
    <t>Recommended</t>
  </si>
  <si>
    <t>DIR</t>
  </si>
  <si>
    <t>GAID</t>
  </si>
  <si>
    <t>HGT</t>
  </si>
  <si>
    <t>LTN</t>
  </si>
  <si>
    <t>SSC</t>
  </si>
  <si>
    <t>TXID</t>
  </si>
  <si>
    <t>TRF</t>
  </si>
  <si>
    <t>WGP</t>
  </si>
  <si>
    <t>Optional</t>
  </si>
  <si>
    <t>AHGT</t>
  </si>
  <si>
    <t>CEAI</t>
  </si>
  <si>
    <t>DAMA</t>
  </si>
  <si>
    <t>DEP</t>
  </si>
  <si>
    <t>GEAI</t>
  </si>
  <si>
    <t>LNAM</t>
  </si>
  <si>
    <t>MODL</t>
  </si>
  <si>
    <t>SCALx</t>
  </si>
  <si>
    <t>SCALy</t>
  </si>
  <si>
    <t>SCALz</t>
  </si>
  <si>
    <t>VEAI</t>
  </si>
  <si>
    <t>Dependent</t>
  </si>
  <si>
    <t>MLOD</t>
  </si>
  <si>
    <t>MODT</t>
  </si>
  <si>
    <t>NVT</t>
  </si>
  <si>
    <t>Feature Code</t>
  </si>
  <si>
    <t>FA000</t>
  </si>
  <si>
    <t>FA003</t>
  </si>
  <si>
    <t>AB040</t>
  </si>
  <si>
    <t>AT012</t>
  </si>
  <si>
    <t>AT011</t>
  </si>
  <si>
    <t>GA033</t>
  </si>
  <si>
    <t>GB013</t>
  </si>
  <si>
    <t>GB230</t>
  </si>
  <si>
    <t>AK164</t>
  </si>
  <si>
    <t>AK020</t>
  </si>
  <si>
    <t>AK030</t>
  </si>
  <si>
    <t>BB019</t>
  </si>
  <si>
    <t>BB010</t>
  </si>
  <si>
    <t>ZD045</t>
  </si>
  <si>
    <t>AL121</t>
  </si>
  <si>
    <t>GB015</t>
  </si>
  <si>
    <t>BD061</t>
  </si>
  <si>
    <t>NM010</t>
  </si>
  <si>
    <t>BH010</t>
  </si>
  <si>
    <t>BH116</t>
  </si>
  <si>
    <t>AQ151</t>
  </si>
  <si>
    <t>AL012</t>
  </si>
  <si>
    <t>DA005</t>
  </si>
  <si>
    <t>AL142</t>
  </si>
  <si>
    <t>AJ085</t>
  </si>
  <si>
    <t>BI045</t>
  </si>
  <si>
    <t>BB150</t>
  </si>
  <si>
    <t>BE050</t>
  </si>
  <si>
    <t>BA050</t>
  </si>
  <si>
    <t>ZB020</t>
  </si>
  <si>
    <t>BB020</t>
  </si>
  <si>
    <t>AG050</t>
  </si>
  <si>
    <t>AC010</t>
  </si>
  <si>
    <t>BH015</t>
  </si>
  <si>
    <t>AA045</t>
  </si>
  <si>
    <t>EA031</t>
  </si>
  <si>
    <t>BF010</t>
  </si>
  <si>
    <t>ZB030</t>
  </si>
  <si>
    <t>AQ056</t>
  </si>
  <si>
    <t>AQ045</t>
  </si>
  <si>
    <t>AQ050</t>
  </si>
  <si>
    <t>AQ055</t>
  </si>
  <si>
    <t>EB070</t>
  </si>
  <si>
    <t>AL013</t>
  </si>
  <si>
    <t>AL018</t>
  </si>
  <si>
    <t>AL020</t>
  </si>
  <si>
    <t>BC020</t>
  </si>
  <si>
    <t>AT005</t>
  </si>
  <si>
    <t>AT041</t>
  </si>
  <si>
    <t>AL025</t>
  </si>
  <si>
    <t>BB050</t>
  </si>
  <si>
    <t>AI030</t>
  </si>
  <si>
    <t>AK060</t>
  </si>
  <si>
    <t>EC010</t>
  </si>
  <si>
    <t>SU004</t>
  </si>
  <si>
    <t>AI020</t>
  </si>
  <si>
    <t>AP010</t>
  </si>
  <si>
    <t>AL376</t>
  </si>
  <si>
    <t>AL375</t>
  </si>
  <si>
    <t>AC020</t>
  </si>
  <si>
    <t>AQ063</t>
  </si>
  <si>
    <t>DB028</t>
  </si>
  <si>
    <t>DB029</t>
  </si>
  <si>
    <t>AL030</t>
  </si>
  <si>
    <t>AH070</t>
  </si>
  <si>
    <t>NU010</t>
  </si>
  <si>
    <t>BI010</t>
  </si>
  <si>
    <t>EC040</t>
  </si>
  <si>
    <t>TBCDL</t>
  </si>
  <si>
    <t>FA210</t>
  </si>
  <si>
    <t>FA012</t>
  </si>
  <si>
    <t>AQ060</t>
  </si>
  <si>
    <t>AF020</t>
  </si>
  <si>
    <t>AD055</t>
  </si>
  <si>
    <t>AF030</t>
  </si>
  <si>
    <t>AL175</t>
  </si>
  <si>
    <t>AF040</t>
  </si>
  <si>
    <t>DB185</t>
  </si>
  <si>
    <t>BJ031</t>
  </si>
  <si>
    <t>DB061</t>
  </si>
  <si>
    <t>BD020</t>
  </si>
  <si>
    <t>EA010</t>
  </si>
  <si>
    <t>AQ062</t>
  </si>
  <si>
    <t>ZD030</t>
  </si>
  <si>
    <t>AQ065</t>
  </si>
  <si>
    <t>DB070</t>
  </si>
  <si>
    <t>DB071</t>
  </si>
  <si>
    <t>BI020</t>
  </si>
  <si>
    <t>ZI031</t>
  </si>
  <si>
    <t>GB050</t>
  </si>
  <si>
    <t>DB080</t>
  </si>
  <si>
    <t>BE019</t>
  </si>
  <si>
    <t>BE015</t>
  </si>
  <si>
    <t>BE010</t>
  </si>
  <si>
    <t>EE030</t>
  </si>
  <si>
    <t>BD030</t>
  </si>
  <si>
    <t>AT010</t>
  </si>
  <si>
    <t>AB000</t>
  </si>
  <si>
    <t>ZB036</t>
  </si>
  <si>
    <t>NM030</t>
  </si>
  <si>
    <t>BH030</t>
  </si>
  <si>
    <t>BB080</t>
  </si>
  <si>
    <t>AL060</t>
  </si>
  <si>
    <t>NA170</t>
  </si>
  <si>
    <t>FC034</t>
  </si>
  <si>
    <t>AK070</t>
  </si>
  <si>
    <t>BB090</t>
  </si>
  <si>
    <t>CA010</t>
  </si>
  <si>
    <t>DB090</t>
  </si>
  <si>
    <t>AF060</t>
  </si>
  <si>
    <t>AH025</t>
  </si>
  <si>
    <t>AP033</t>
  </si>
  <si>
    <t>ZI039</t>
  </si>
  <si>
    <t>DB100</t>
  </si>
  <si>
    <t>AF050</t>
  </si>
  <si>
    <t>AA010</t>
  </si>
  <si>
    <t>AL010</t>
  </si>
  <si>
    <t>AK090</t>
  </si>
  <si>
    <t>AL070</t>
  </si>
  <si>
    <t>AQ070</t>
  </si>
  <si>
    <t>AQ080</t>
  </si>
  <si>
    <t>AL017</t>
  </si>
  <si>
    <t>FA015</t>
  </si>
  <si>
    <t>BH051</t>
  </si>
  <si>
    <t>BI060</t>
  </si>
  <si>
    <t>BB110</t>
  </si>
  <si>
    <t>BB100</t>
  </si>
  <si>
    <t>AL073</t>
  </si>
  <si>
    <t>AF070</t>
  </si>
  <si>
    <t>BB199</t>
  </si>
  <si>
    <t>BI044</t>
  </si>
  <si>
    <t>BH070</t>
  </si>
  <si>
    <t>BA023</t>
  </si>
  <si>
    <t>EC015</t>
  </si>
  <si>
    <t>EC060</t>
  </si>
  <si>
    <t>AH055</t>
  </si>
  <si>
    <t>BD050</t>
  </si>
  <si>
    <t>BH075</t>
  </si>
  <si>
    <t>AM075</t>
  </si>
  <si>
    <t>AL080</t>
  </si>
  <si>
    <t>AP040</t>
  </si>
  <si>
    <t>BI070</t>
  </si>
  <si>
    <t>ZB060</t>
  </si>
  <si>
    <t>DB110</t>
  </si>
  <si>
    <t>FA002</t>
  </si>
  <si>
    <t>DB115</t>
  </si>
  <si>
    <t>BJ030</t>
  </si>
  <si>
    <t>AK100</t>
  </si>
  <si>
    <t>AK101</t>
  </si>
  <si>
    <t>AM030</t>
  </si>
  <si>
    <t>AM020</t>
  </si>
  <si>
    <t>AK110</t>
  </si>
  <si>
    <t>EB010</t>
  </si>
  <si>
    <t>AJ110</t>
  </si>
  <si>
    <t>EC050</t>
  </si>
  <si>
    <t>BB005</t>
  </si>
  <si>
    <t>BB008</t>
  </si>
  <si>
    <t>GB250</t>
  </si>
  <si>
    <t>BD130</t>
  </si>
  <si>
    <t>AD050</t>
  </si>
  <si>
    <t>EA020</t>
  </si>
  <si>
    <t>GB030</t>
  </si>
  <si>
    <t>GB035</t>
  </si>
  <si>
    <t>AJ030</t>
  </si>
  <si>
    <t>EA055</t>
  </si>
  <si>
    <t>AF080</t>
  </si>
  <si>
    <t>BD181</t>
  </si>
  <si>
    <t>BH077</t>
  </si>
  <si>
    <t>AL099</t>
  </si>
  <si>
    <t>AC040</t>
  </si>
  <si>
    <t>AA052</t>
  </si>
  <si>
    <t>BJ099</t>
  </si>
  <si>
    <t>BJ040</t>
  </si>
  <si>
    <t>BJ060</t>
  </si>
  <si>
    <t>AQ075</t>
  </si>
  <si>
    <t>BJ065</t>
  </si>
  <si>
    <t>AL270</t>
  </si>
  <si>
    <t>AC060</t>
  </si>
  <si>
    <t>NM082</t>
  </si>
  <si>
    <t>BH082</t>
  </si>
  <si>
    <t>SU030</t>
  </si>
  <si>
    <t>AL011</t>
  </si>
  <si>
    <t>BC080</t>
  </si>
  <si>
    <t>AL201</t>
  </si>
  <si>
    <t>FA110</t>
  </si>
  <si>
    <t>BA030</t>
  </si>
  <si>
    <t>BH190</t>
  </si>
  <si>
    <t>GB005</t>
  </si>
  <si>
    <t>IA040</t>
  </si>
  <si>
    <t>BH090</t>
  </si>
  <si>
    <t>BA010</t>
  </si>
  <si>
    <t>STB23</t>
  </si>
  <si>
    <t>DB211</t>
  </si>
  <si>
    <t>GB040</t>
  </si>
  <si>
    <t>BC060</t>
  </si>
  <si>
    <t>AL110</t>
  </si>
  <si>
    <t>BC070</t>
  </si>
  <si>
    <t>BC050</t>
  </si>
  <si>
    <t>AB021</t>
  </si>
  <si>
    <t>ZC040</t>
  </si>
  <si>
    <t>BI030</t>
  </si>
  <si>
    <t>EE010</t>
  </si>
  <si>
    <t>AK121</t>
  </si>
  <si>
    <t>AL371</t>
  </si>
  <si>
    <t>AI021</t>
  </si>
  <si>
    <t>BH050</t>
  </si>
  <si>
    <t>FC037</t>
  </si>
  <si>
    <t>FC021</t>
  </si>
  <si>
    <t>BC041</t>
  </si>
  <si>
    <t>BC010</t>
  </si>
  <si>
    <t>BC040</t>
  </si>
  <si>
    <t>BC055</t>
  </si>
  <si>
    <t>FC130</t>
  </si>
  <si>
    <t>BC034</t>
  </si>
  <si>
    <t>FC165</t>
  </si>
  <si>
    <t>BB155</t>
  </si>
  <si>
    <t>ED010</t>
  </si>
  <si>
    <t>FC100</t>
  </si>
  <si>
    <t>AL130</t>
  </si>
  <si>
    <t>STBM1</t>
  </si>
  <si>
    <t>SU001</t>
  </si>
  <si>
    <t>AA020</t>
  </si>
  <si>
    <t>AL065</t>
  </si>
  <si>
    <t>AM040</t>
  </si>
  <si>
    <t>BH100</t>
  </si>
  <si>
    <t>AQ110</t>
  </si>
  <si>
    <t>BJ020</t>
  </si>
  <si>
    <t>AQ170</t>
  </si>
  <si>
    <t>DB150</t>
  </si>
  <si>
    <t>AM065</t>
  </si>
  <si>
    <t>NM170</t>
  </si>
  <si>
    <t>BH170</t>
  </si>
  <si>
    <t>BB115</t>
  </si>
  <si>
    <t>NM020</t>
  </si>
  <si>
    <t>BH020</t>
  </si>
  <si>
    <t>AL024</t>
  </si>
  <si>
    <t>AL014</t>
  </si>
  <si>
    <t>AA054</t>
  </si>
  <si>
    <t>AD041</t>
  </si>
  <si>
    <t>EC020</t>
  </si>
  <si>
    <t>AG040</t>
  </si>
  <si>
    <t>BD115</t>
  </si>
  <si>
    <t>EA040</t>
  </si>
  <si>
    <t>AK080</t>
  </si>
  <si>
    <t>AL155</t>
  </si>
  <si>
    <t>BJ070</t>
  </si>
  <si>
    <t>AK120</t>
  </si>
  <si>
    <t>AQ141</t>
  </si>
  <si>
    <t>AL140</t>
  </si>
  <si>
    <t>BH110</t>
  </si>
  <si>
    <t>AK061</t>
  </si>
  <si>
    <t>NU113</t>
  </si>
  <si>
    <t>AQ113</t>
  </si>
  <si>
    <t>AL165</t>
  </si>
  <si>
    <t>EA030</t>
  </si>
  <si>
    <t>BJ080</t>
  </si>
  <si>
    <t>BB009</t>
  </si>
  <si>
    <t>AD030</t>
  </si>
  <si>
    <t>AQ111</t>
  </si>
  <si>
    <t>AL170</t>
  </si>
  <si>
    <t>T0181</t>
  </si>
  <si>
    <t>NU116</t>
  </si>
  <si>
    <t>AQ116</t>
  </si>
  <si>
    <t>AT042</t>
  </si>
  <si>
    <t>BH012</t>
  </si>
  <si>
    <t>AK130</t>
  </si>
  <si>
    <t>AT045</t>
  </si>
  <si>
    <t>AN050</t>
  </si>
  <si>
    <t>AN085</t>
  </si>
  <si>
    <t>AN075</t>
  </si>
  <si>
    <t>AN060</t>
  </si>
  <si>
    <t>AL195</t>
  </si>
  <si>
    <t>BH120</t>
  </si>
  <si>
    <t>AB010</t>
  </si>
  <si>
    <t>BD120</t>
  </si>
  <si>
    <t>ZI002</t>
  </si>
  <si>
    <t>AL180</t>
  </si>
  <si>
    <t>BH135</t>
  </si>
  <si>
    <t>AA040</t>
  </si>
  <si>
    <t>NM140</t>
  </si>
  <si>
    <t>BH140</t>
  </si>
  <si>
    <t>AQ135</t>
  </si>
  <si>
    <t>DB160</t>
  </si>
  <si>
    <t>AN076</t>
  </si>
  <si>
    <t>AL200</t>
  </si>
  <si>
    <t>GB055</t>
  </si>
  <si>
    <t>NM160</t>
  </si>
  <si>
    <t>BH160</t>
  </si>
  <si>
    <t>BH155</t>
  </si>
  <si>
    <t>BH150</t>
  </si>
  <si>
    <t>DB170</t>
  </si>
  <si>
    <t>AK161</t>
  </si>
  <si>
    <t>GB070</t>
  </si>
  <si>
    <t>AL105</t>
  </si>
  <si>
    <t>AC030</t>
  </si>
  <si>
    <t>AC507</t>
  </si>
  <si>
    <t>AL208</t>
  </si>
  <si>
    <t>AQ118</t>
  </si>
  <si>
    <t>AA011</t>
  </si>
  <si>
    <t>AL019</t>
  </si>
  <si>
    <t>BI006</t>
  </si>
  <si>
    <t>AM011</t>
  </si>
  <si>
    <t>BB241</t>
  </si>
  <si>
    <t>AG030</t>
  </si>
  <si>
    <t>BA024</t>
  </si>
  <si>
    <t>BB081</t>
  </si>
  <si>
    <t>BB082</t>
  </si>
  <si>
    <t>AQ035</t>
  </si>
  <si>
    <t>AK150</t>
  </si>
  <si>
    <t>AK155</t>
  </si>
  <si>
    <t>SA050</t>
  </si>
  <si>
    <t>BI040</t>
  </si>
  <si>
    <t>BB201</t>
  </si>
  <si>
    <t>AF010</t>
  </si>
  <si>
    <t>BD140</t>
  </si>
  <si>
    <t>BJ100</t>
  </si>
  <si>
    <t>DA010</t>
  </si>
  <si>
    <t>AD025</t>
  </si>
  <si>
    <t>AD020</t>
  </si>
  <si>
    <t>BE020</t>
  </si>
  <si>
    <t>AL351</t>
  </si>
  <si>
    <t>BH165</t>
  </si>
  <si>
    <t>AK040</t>
  </si>
  <si>
    <t>CA030</t>
  </si>
  <si>
    <t>AJ080</t>
  </si>
  <si>
    <t>AK160</t>
  </si>
  <si>
    <t>AQ150</t>
  </si>
  <si>
    <t>STDPP</t>
  </si>
  <si>
    <t>AQ120</t>
  </si>
  <si>
    <t>DB010</t>
  </si>
  <si>
    <t>GB045</t>
  </si>
  <si>
    <t>AM010</t>
  </si>
  <si>
    <t>NU070</t>
  </si>
  <si>
    <t>AM070</t>
  </si>
  <si>
    <t>AQ114</t>
  </si>
  <si>
    <t>AQ161</t>
  </si>
  <si>
    <t>AQ162</t>
  </si>
  <si>
    <t>BD100</t>
  </si>
  <si>
    <t>ZB050</t>
  </si>
  <si>
    <t>ED020</t>
  </si>
  <si>
    <t>FC177</t>
  </si>
  <si>
    <t>NU170</t>
  </si>
  <si>
    <t>AK170</t>
  </si>
  <si>
    <t>AP056</t>
  </si>
  <si>
    <t>AM071</t>
  </si>
  <si>
    <t>AP055</t>
  </si>
  <si>
    <t>GB075</t>
  </si>
  <si>
    <t>FA100</t>
  </si>
  <si>
    <t>AL510</t>
  </si>
  <si>
    <t>EB020</t>
  </si>
  <si>
    <t>BG030</t>
  </si>
  <si>
    <t>BA040</t>
  </si>
  <si>
    <t>AL036</t>
  </si>
  <si>
    <t>AQ160</t>
  </si>
  <si>
    <t>FC041</t>
  </si>
  <si>
    <t>AP050</t>
  </si>
  <si>
    <t>FA165</t>
  </si>
  <si>
    <t>AQ059</t>
  </si>
  <si>
    <t>AL211</t>
  </si>
  <si>
    <t>AQ068</t>
  </si>
  <si>
    <t>AQ125</t>
  </si>
  <si>
    <t>BJ110</t>
  </si>
  <si>
    <t>AQ130</t>
  </si>
  <si>
    <t>AQ095</t>
  </si>
  <si>
    <t>AH060</t>
  </si>
  <si>
    <t>AL250</t>
  </si>
  <si>
    <t>AQ115</t>
  </si>
  <si>
    <t>BH145</t>
  </si>
  <si>
    <t>AP041</t>
  </si>
  <si>
    <t>AQ140</t>
  </si>
  <si>
    <t>BI005</t>
  </si>
  <si>
    <t>EA050</t>
  </si>
  <si>
    <t>ZD020</t>
  </si>
  <si>
    <t>DB190</t>
  </si>
  <si>
    <t>DB180</t>
  </si>
  <si>
    <t>AL260</t>
  </si>
  <si>
    <t>AB507</t>
  </si>
  <si>
    <t>GB065</t>
  </si>
  <si>
    <t>BI050</t>
  </si>
  <si>
    <t>ZD070</t>
  </si>
  <si>
    <t>AJ055</t>
  </si>
  <si>
    <t>BG010</t>
  </si>
  <si>
    <t>BH065</t>
  </si>
  <si>
    <t>AM080</t>
  </si>
  <si>
    <t>BH040</t>
  </si>
  <si>
    <t>BG012</t>
  </si>
  <si>
    <t>NM230</t>
  </si>
  <si>
    <t>BH230</t>
  </si>
  <si>
    <t>FC035</t>
  </si>
  <si>
    <t>BH180</t>
  </si>
  <si>
    <t>BH220</t>
  </si>
  <si>
    <t>AD060</t>
  </si>
  <si>
    <t>AJ051</t>
  </si>
  <si>
    <t>AJ050</t>
  </si>
  <si>
    <t>BD180</t>
  </si>
  <si>
    <t>AK180</t>
  </si>
  <si>
    <t>BoundaryCrvExt</t>
  </si>
  <si>
    <t>BoundarySrfExt</t>
  </si>
  <si>
    <t>IndustrySrf</t>
  </si>
  <si>
    <t>UtilityInfrastructurePnt</t>
  </si>
  <si>
    <t>UtilityInfrastructureSrf</t>
  </si>
  <si>
    <t>AeronauticPntExt</t>
  </si>
  <si>
    <t>AeronauticPnt</t>
  </si>
  <si>
    <t>AeronauticSrf</t>
  </si>
  <si>
    <t>RecreationPnt</t>
  </si>
  <si>
    <t>RecreationSrf</t>
  </si>
  <si>
    <t>RecreationCrv</t>
  </si>
  <si>
    <t>PortHarbourPntExt</t>
  </si>
  <si>
    <t>PortHarbourSrfExt</t>
  </si>
  <si>
    <t>InformationCrv</t>
  </si>
  <si>
    <t>InformationPnt</t>
  </si>
  <si>
    <t>InformationSrf</t>
  </si>
  <si>
    <t>MilitaryPntExt</t>
  </si>
  <si>
    <t>MilitarySrfExt</t>
  </si>
  <si>
    <t>HydrographyPntExt</t>
  </si>
  <si>
    <t>HydrographySrfExt</t>
  </si>
  <si>
    <t>HydrographyAONExt</t>
  </si>
  <si>
    <t>HydrographyCrv</t>
  </si>
  <si>
    <t>HydrographySrf</t>
  </si>
  <si>
    <t>SubterraneanSrf</t>
  </si>
  <si>
    <t>TransportationGroundCrv</t>
  </si>
  <si>
    <t>TransportationGroundSrf</t>
  </si>
  <si>
    <t>CulturePnt</t>
  </si>
  <si>
    <t>CultureSrf</t>
  </si>
  <si>
    <t>PhysiographySrf</t>
  </si>
  <si>
    <t>StructurePnt</t>
  </si>
  <si>
    <t>StructureSrf</t>
  </si>
  <si>
    <t>AgriculturePnt</t>
  </si>
  <si>
    <t>AgricultureSrf</t>
  </si>
  <si>
    <t>TransportationWaterCrv</t>
  </si>
  <si>
    <t>TransportationWaterPnt</t>
  </si>
  <si>
    <t>PhysiographyCrvExt</t>
  </si>
  <si>
    <t>PhysiographySrfExt</t>
  </si>
  <si>
    <t>HypsographyPntExt</t>
  </si>
  <si>
    <t>IndustryPnt</t>
  </si>
  <si>
    <t>VegetationSrf</t>
  </si>
  <si>
    <t>BoundaryPnt</t>
  </si>
  <si>
    <t>TransportationGroundPnt</t>
  </si>
  <si>
    <t>StructureCrv</t>
  </si>
  <si>
    <t>SettlementPnt</t>
  </si>
  <si>
    <t>SettlementSrf</t>
  </si>
  <si>
    <t>HydroAidNavigationPntExt</t>
  </si>
  <si>
    <t>UtilityInfrastructureCrv</t>
  </si>
  <si>
    <t>MilitarySrf</t>
  </si>
  <si>
    <t>MilitaryPnt</t>
  </si>
  <si>
    <t>PhysiographyPnt</t>
  </si>
  <si>
    <t>HydrographyPnt</t>
  </si>
  <si>
    <t>VegetationCrv</t>
  </si>
  <si>
    <t>IndustryCrv</t>
  </si>
  <si>
    <t>PhysiographyPntExt</t>
  </si>
  <si>
    <t>PhysiographyCrv</t>
  </si>
  <si>
    <t>CulturePntExt</t>
  </si>
  <si>
    <t>CultureSrfExt</t>
  </si>
  <si>
    <t>ResourceSrf</t>
  </si>
  <si>
    <t>MilitaryCrv</t>
  </si>
  <si>
    <t>HydrographyCrvExt</t>
  </si>
  <si>
    <t>TransportationGroundPntExt</t>
  </si>
  <si>
    <t>PortHarbourSrf</t>
  </si>
  <si>
    <t>HypsographyCrv</t>
  </si>
  <si>
    <t>MetadataSrf</t>
  </si>
  <si>
    <t>FacilityPnt</t>
  </si>
  <si>
    <t>FacilitySrf</t>
  </si>
  <si>
    <t>TransportationWaterPntExt</t>
  </si>
  <si>
    <t>TransportationWaterSrf</t>
  </si>
  <si>
    <t>StoragePnt</t>
  </si>
  <si>
    <t>StorageSrf</t>
  </si>
  <si>
    <t>VegetationPntExt</t>
  </si>
  <si>
    <t>VegetationSrfExt</t>
  </si>
  <si>
    <t>IndustryPntExt</t>
  </si>
  <si>
    <t>BoundarySrf</t>
  </si>
  <si>
    <t>AeronauticSrfExt</t>
  </si>
  <si>
    <t>HydroAidNavigationPnt</t>
  </si>
  <si>
    <t>HydroAidNavigationSrf</t>
  </si>
  <si>
    <t>InformationSrfExt</t>
  </si>
  <si>
    <t>HydroAidNavigationCrvExt</t>
  </si>
  <si>
    <t>CultureCrv</t>
  </si>
  <si>
    <t>MilitaryCrvExt</t>
  </si>
  <si>
    <t>InformationCrvExt</t>
  </si>
  <si>
    <t>TransportationWaterAONExt</t>
  </si>
  <si>
    <t>SettlementSrfExt</t>
  </si>
  <si>
    <t>AgriculturePntExt</t>
  </si>
  <si>
    <t>StructurePntExt</t>
  </si>
  <si>
    <t>UtilityInfrastructureAONExt</t>
  </si>
  <si>
    <t>PortHarbourPnt</t>
  </si>
  <si>
    <t>UtilityInfrastructurePntExt</t>
  </si>
  <si>
    <t>PhysiographyAONExt</t>
  </si>
  <si>
    <t>PortHarbourCrv</t>
  </si>
  <si>
    <t>HypsographyPnt</t>
  </si>
  <si>
    <t>StorageAONExt</t>
  </si>
  <si>
    <t>RecreationAONExt</t>
  </si>
  <si>
    <t>AeronauticCrv</t>
  </si>
  <si>
    <t>VegetationPnt</t>
  </si>
  <si>
    <t>Definition</t>
  </si>
  <si>
    <t>Composite Material Index</t>
  </si>
  <si>
    <t>Class Name</t>
  </si>
  <si>
    <t>End Junction ID</t>
  </si>
  <si>
    <t>Feature Attribute Classification Code</t>
  </si>
  <si>
    <t>FACC Sub Code</t>
  </si>
  <si>
    <t>Length of Lineal</t>
  </si>
  <si>
    <t>Relative Tactical Importance</t>
  </si>
  <si>
    <t>Start Junction ID</t>
  </si>
  <si>
    <t>Directivity</t>
  </si>
  <si>
    <t>Gate AirPort ID</t>
  </si>
  <si>
    <t>Height above surface level</t>
  </si>
  <si>
    <t>Lane/Track Number</t>
  </si>
  <si>
    <t>Structure Shape Category</t>
  </si>
  <si>
    <t>Taxiway ID</t>
  </si>
  <si>
    <t>Traffic Flow</t>
  </si>
  <si>
    <t>Width with Greater than 1 meter Precision</t>
  </si>
  <si>
    <t>Absolute Height Flag</t>
  </si>
  <si>
    <t>CDB Extended Attribute Index</t>
  </si>
  <si>
    <t>Damage Level</t>
  </si>
  <si>
    <t>Depth Below Surface Level</t>
  </si>
  <si>
    <t>Geomatics Extended Attribute Index</t>
  </si>
  <si>
    <t>Location Name</t>
  </si>
  <si>
    <t>Model Name</t>
  </si>
  <si>
    <t>Scaling X-Axis</t>
  </si>
  <si>
    <t>Scaling Y-Axis</t>
  </si>
  <si>
    <t>Scaling z-Axis</t>
  </si>
  <si>
    <t>Vendor Extended Attribute Index</t>
  </si>
  <si>
    <t>Model Level of Detail</t>
  </si>
  <si>
    <t>Model Type</t>
  </si>
  <si>
    <t>Number of Vertices</t>
  </si>
  <si>
    <t>NA</t>
  </si>
  <si>
    <t>LZN</t>
  </si>
  <si>
    <t>Measure</t>
  </si>
  <si>
    <t>meters</t>
  </si>
  <si>
    <t>F_CODE</t>
  </si>
  <si>
    <t>CONSTRAINED_STRING</t>
  </si>
  <si>
    <t>Real</t>
  </si>
  <si>
    <t>WID</t>
  </si>
  <si>
    <t>Feature Name or "no class attribute"</t>
  </si>
  <si>
    <t>integer</t>
  </si>
  <si>
    <t>ONE</t>
  </si>
  <si>
    <t>boolean</t>
  </si>
  <si>
    <t>direct</t>
  </si>
  <si>
    <t>if ONE = 1001, then DIR = 3, else, 4</t>
  </si>
  <si>
    <t>default to 3</t>
  </si>
  <si>
    <t>NA8</t>
  </si>
  <si>
    <t>if airport</t>
  </si>
  <si>
    <t>Requirements</t>
  </si>
  <si>
    <t>AO1</t>
  </si>
  <si>
    <t>APID</t>
  </si>
  <si>
    <t>BBH</t>
  </si>
  <si>
    <t>BBW</t>
  </si>
  <si>
    <t>BOTY</t>
  </si>
  <si>
    <t>BSR</t>
  </si>
  <si>
    <t>DML</t>
  </si>
  <si>
    <t>DMR</t>
  </si>
  <si>
    <t>DMS</t>
  </si>
  <si>
    <t>DMT</t>
  </si>
  <si>
    <t>JID</t>
  </si>
  <si>
    <t>LACC</t>
  </si>
  <si>
    <t>LOTY</t>
  </si>
  <si>
    <t>LPH</t>
  </si>
  <si>
    <t>LPN</t>
  </si>
  <si>
    <t>LTYP</t>
  </si>
  <si>
    <t>MMDC</t>
  </si>
  <si>
    <t>NCS1</t>
  </si>
  <si>
    <t>NCS2</t>
  </si>
  <si>
    <t>NDSC</t>
  </si>
  <si>
    <t>POPD</t>
  </si>
  <si>
    <t>POPT</t>
  </si>
  <si>
    <t>RWID</t>
  </si>
  <si>
    <t>SRD</t>
  </si>
  <si>
    <t>SSR</t>
  </si>
  <si>
    <t>USP</t>
  </si>
  <si>
    <t>Angle of Orientation</t>
  </si>
  <si>
    <t>floating</t>
  </si>
  <si>
    <t>AOO</t>
  </si>
  <si>
    <t>AirPort ID</t>
  </si>
  <si>
    <t>Bounding Box Height</t>
  </si>
  <si>
    <t>Bounding Box Width</t>
  </si>
  <si>
    <t>BBL</t>
  </si>
  <si>
    <t>Bounding Box Length</t>
  </si>
  <si>
    <t>Boundary Type</t>
  </si>
  <si>
    <t>Bounding Sphere Radius</t>
  </si>
  <si>
    <t>Density Measure (% roof cover)</t>
  </si>
  <si>
    <t>Density Measure (structure count)</t>
  </si>
  <si>
    <t>Density Measure (% tree/canopy cover)</t>
  </si>
  <si>
    <t>Density Measure (% light cover)</t>
  </si>
  <si>
    <t>Location Accuracy</t>
  </si>
  <si>
    <t>Light Type</t>
  </si>
  <si>
    <t>Location Type</t>
  </si>
  <si>
    <t>Light Phase</t>
  </si>
  <si>
    <t>Layer Priority Number</t>
  </si>
  <si>
    <t>Population Density</t>
  </si>
  <si>
    <t>Population Place Type</t>
  </si>
  <si>
    <t>Runway ID</t>
  </si>
  <si>
    <t>Structure Shape of Roof</t>
  </si>
  <si>
    <t>Urban Street Pattern</t>
  </si>
  <si>
    <t>Connection Thing</t>
  </si>
  <si>
    <t>Junction ID?</t>
  </si>
  <si>
    <t>Enumeraton</t>
  </si>
  <si>
    <t>meters?</t>
  </si>
  <si>
    <t>real</t>
  </si>
  <si>
    <t>discrete integer</t>
  </si>
  <si>
    <t>seconds?</t>
  </si>
  <si>
    <t>seconds</t>
  </si>
  <si>
    <t>CDB Field Code</t>
  </si>
  <si>
    <t>GGDM Field Name Code</t>
  </si>
  <si>
    <t xml:space="preserve">CDB  </t>
  </si>
  <si>
    <t>Meter</t>
  </si>
  <si>
    <t>percent</t>
  </si>
  <si>
    <t>Number of manmade structures per sqkm</t>
  </si>
  <si>
    <t>Number of inhabitants per sqkm; geopolitical features (like states)</t>
  </si>
  <si>
    <t>GB052_RIDH</t>
  </si>
  <si>
    <t>Surface Roughness Description</t>
  </si>
  <si>
    <t>ZI005_FNA</t>
  </si>
  <si>
    <t>GGDM Feature Name</t>
  </si>
  <si>
    <t>GGDM Composite</t>
  </si>
  <si>
    <t>GGDM Feature Code</t>
  </si>
  <si>
    <t>CDB FSC</t>
  </si>
  <si>
    <t>CDB/FACC-FSC Label</t>
  </si>
  <si>
    <t>CDB/FACC-FSC</t>
  </si>
  <si>
    <t>CDB/FACC Concept Definition</t>
  </si>
  <si>
    <t>Refer to Section 2.5, Material Naming Conventions for a description on material naming conventions.</t>
  </si>
  <si>
    <t>for radar simulation</t>
  </si>
  <si>
    <t>Mandatory Attributes</t>
  </si>
  <si>
    <t>Recommended Attributes</t>
  </si>
  <si>
    <t>Dependent Attributes</t>
  </si>
  <si>
    <t>Optional Attributes</t>
  </si>
  <si>
    <t xml:space="preserve">Lane </t>
  </si>
  <si>
    <t>A wide street consisting of one wide lane or 2 lanes of average width</t>
  </si>
  <si>
    <t>a linear portion of a roadway surface marked out for use by a sinle line of vehicles in such a way as to control and guide drivers for the purposes of reducing traffic conflict</t>
  </si>
  <si>
    <t>A type of road, consisting of a two or more roadways, termed for it high-capacity, high speed.  Its primary function is to interconnect cities.  Att traffic flow and ingress/egress are regulated and no crossings at grade-level.  Also known as expressways, motorways, freeways, atobahn, autoroute, thruways, toolway.</t>
  </si>
  <si>
    <t>A type of road, consisting of a two or more roadways, termed for it high-capacity, high speed.  Its primary function is to interconnect cities.   Also known as expressways,</t>
  </si>
  <si>
    <t>An artery with 6 lanes or more, usually divided</t>
  </si>
  <si>
    <t>An artery with less than 6 lanes, usually divided</t>
  </si>
  <si>
    <t>a type of road, termed for its high-capacity and its urban setting.  The primary function of an arterial road is to deliver traffic from collector roads to highways.</t>
  </si>
  <si>
    <t>a secondary type of road, usually in rural areas, undivided, with 1-2 lanes usually unpaved (dort or gravel)</t>
  </si>
  <si>
    <t>also known as alley or alleyway. A narrow street or alley running behind urban buildings, and especially houses or stores</t>
  </si>
  <si>
    <t>also known as a driveway. A narrow streety or ally running behond urban buildings, espacially houses. Typically is a proivate road for local vehicle access to one or a group of structures, and is owned and maintained but an individual or group.</t>
  </si>
  <si>
    <t>a road used for the fast transportation of passengers (as a subway) in urban areas.</t>
  </si>
  <si>
    <t>a low-capacity paved public road in a city, town, or village, onto which prople and or vehicles can move about and interact with one another.  Consists of 1 or 2 lanes.</t>
  </si>
  <si>
    <t>RTY: 4</t>
  </si>
  <si>
    <t>Road_C</t>
  </si>
  <si>
    <t xml:space="preserve">Feature Dataset: </t>
  </si>
  <si>
    <t>a type of road, termed for its low to medium capacity and urban setting. Primary function is to deliver traffic from streets to arteries. Typically 2 lanes, rarely 4.</t>
  </si>
  <si>
    <t>4 = street</t>
  </si>
  <si>
    <t>Motorway</t>
  </si>
  <si>
    <t>Limimted Access Motorway</t>
  </si>
  <si>
    <t>done</t>
  </si>
  <si>
    <t>geometry mismatch</t>
  </si>
  <si>
    <t>no match</t>
  </si>
  <si>
    <t>geometry mismatch or not defined</t>
  </si>
  <si>
    <t>TGS - Table Root Name</t>
  </si>
  <si>
    <t>DFDD-like Code</t>
  </si>
  <si>
    <t>EXTRACTION_MINE</t>
  </si>
  <si>
    <t>EXTRACTION_MINE_P</t>
  </si>
  <si>
    <t>EXTRACTION_MINE_S</t>
  </si>
  <si>
    <t>SHEAR_WALL</t>
  </si>
  <si>
    <t>SHEAR_WALL_C</t>
  </si>
  <si>
    <t>MINE_SHAFT_SUPERSTRUCTURE (AA020)</t>
  </si>
  <si>
    <t>MINE_SHAFT_SUPERSTRUCTURE_P</t>
  </si>
  <si>
    <t>MINE_SHAFT_SUPERSTRUCTURE_S</t>
  </si>
  <si>
    <t>RIG</t>
  </si>
  <si>
    <t>RIG_P</t>
  </si>
  <si>
    <t>RIG_S</t>
  </si>
  <si>
    <t>BOREHOLE (AA045)</t>
  </si>
  <si>
    <t>BOREHOLE_P</t>
  </si>
  <si>
    <t>HYDROCARBONS_FIELD</t>
  </si>
  <si>
    <t>HYDROCARBONS_FIELD_P</t>
  </si>
  <si>
    <t>HYDROCARBONS_FIELD_S</t>
  </si>
  <si>
    <t>NON_WATER_WELL (AA054)</t>
  </si>
  <si>
    <t>NON_WATER_WELL_P</t>
  </si>
  <si>
    <t>DISPOSAL_SITE</t>
  </si>
  <si>
    <t>DISPOSAL_SITE_P</t>
  </si>
  <si>
    <t>DISPOSAL_SITE_S</t>
  </si>
  <si>
    <t>RECYCLING_SITE</t>
  </si>
  <si>
    <t>RECYCLING_SITE_S</t>
  </si>
  <si>
    <t>LIQUID_DIFFUSER</t>
  </si>
  <si>
    <t>LIQUID_DIFFUSER_P</t>
  </si>
  <si>
    <t>AERATION_BASIN</t>
  </si>
  <si>
    <t>AERATION_BASIN_S</t>
  </si>
  <si>
    <t>WASTE_HEAP</t>
  </si>
  <si>
    <t>WASTE_HEAP_P</t>
  </si>
  <si>
    <t>WASTE_HEAP_S</t>
  </si>
  <si>
    <t>BLAST_FURNACE</t>
  </si>
  <si>
    <t>BLAST_FURNACE_P</t>
  </si>
  <si>
    <t>BLAST_FURNACE_S</t>
  </si>
  <si>
    <t>CATALYTIC_CRACKER</t>
  </si>
  <si>
    <t>CATALYTIC_CRACKER_P</t>
  </si>
  <si>
    <t>CATALYTIC_CRACKER_S</t>
  </si>
  <si>
    <t>SETTLING_POND</t>
  </si>
  <si>
    <t>SETTLING_POND_S</t>
  </si>
  <si>
    <t>HYDROCARBON_PROD_FACILITY</t>
  </si>
  <si>
    <t>HYDROCARBON_PROD_FACILITY_P</t>
  </si>
  <si>
    <t>HYDROCARBON_PROD_FACILITY_S</t>
  </si>
  <si>
    <t>INDUSTRIAL_FURNACE</t>
  </si>
  <si>
    <t>INDUSTRIAL_FURNACE_P</t>
  </si>
  <si>
    <t>SEWAGE_TREATMENT_PLANT</t>
  </si>
  <si>
    <t>INDUSTRIAL_FURNACE_S</t>
  </si>
  <si>
    <t>SEWAGE_TREATMENT_PLANT_P</t>
  </si>
  <si>
    <t>SEWAGE_TREATMENT_PLANT_S</t>
  </si>
  <si>
    <t>ELECTRIC_POWER_STATION</t>
  </si>
  <si>
    <t>ELECTRIC_POWER_STATION_P</t>
  </si>
  <si>
    <t>ELECTRIC_POWER_STATION_S</t>
  </si>
  <si>
    <t>SOLAR_PANEL</t>
  </si>
  <si>
    <t>SOLAR_PANEL_P</t>
  </si>
  <si>
    <t>SOLAR_PANEL_S</t>
  </si>
  <si>
    <t>SOLAR_FARM</t>
  </si>
  <si>
    <t>SOLAR_FARM_P</t>
  </si>
  <si>
    <t>SOLAR_FARM_S</t>
  </si>
  <si>
    <t>POWER_SUBSTATION</t>
  </si>
  <si>
    <t>POWER_SUBSTATION_P</t>
  </si>
  <si>
    <t>POWER_SUBSTATION_S</t>
  </si>
  <si>
    <t>NUCLEAR_REACTOR_CONTAINMENT</t>
  </si>
  <si>
    <t>NUCLEAR_REACTOR_CONTAINMENT_P</t>
  </si>
  <si>
    <t>NUCLEAR_REACTOR_CONTAINMENT_S</t>
  </si>
  <si>
    <t>HEATING_FACILITY</t>
  </si>
  <si>
    <t>HEATING_FACILITY_P</t>
  </si>
  <si>
    <t>HEATING_FACILITY_S</t>
  </si>
  <si>
    <t>COOLING_FACILITY</t>
  </si>
  <si>
    <t>COOLING_FACILITY_P</t>
  </si>
  <si>
    <t>COOLING_FACILITY_S</t>
  </si>
  <si>
    <t>WIND_FARM</t>
  </si>
  <si>
    <t>WIND_FARM_P</t>
  </si>
  <si>
    <t>WIND_FARM_S</t>
  </si>
  <si>
    <t>SMOKESTACK</t>
  </si>
  <si>
    <t>SMOKESTACK_P</t>
  </si>
  <si>
    <t>CONVEYOR</t>
  </si>
  <si>
    <t>CONVEYOR_C</t>
  </si>
  <si>
    <t>CONVEYOR_P</t>
  </si>
  <si>
    <t>COOLING_TOWER</t>
  </si>
  <si>
    <t>COOLING_TOWER_P</t>
  </si>
  <si>
    <t>COOLING_TOWER_S</t>
  </si>
  <si>
    <t>CRANE</t>
  </si>
  <si>
    <t>CRANE_P</t>
  </si>
  <si>
    <t>CRANE_S</t>
  </si>
  <si>
    <t>EXCAVATING_MACHINE</t>
  </si>
  <si>
    <t>EXCAVATING_MACHINE_C</t>
  </si>
  <si>
    <t>EXCAVATING_MACHINE_P</t>
  </si>
  <si>
    <t>ENGINE_TEST_CELL</t>
  </si>
  <si>
    <t>ENGINE_TEST_CELL_P</t>
  </si>
  <si>
    <t>ENGINE_TEST_CELL_S</t>
  </si>
  <si>
    <t>FLARE_PIPE</t>
  </si>
  <si>
    <t>FLARE_PIPE_P</t>
  </si>
  <si>
    <t>HOPPER</t>
  </si>
  <si>
    <t>HOPPER_P</t>
  </si>
  <si>
    <t>SHOPPING_COMPLEX</t>
  </si>
  <si>
    <t>SHOPPING_COMPLEX_S</t>
  </si>
  <si>
    <t>OFFICE_PARK</t>
  </si>
  <si>
    <t>OFFICE_PARK_S</t>
  </si>
  <si>
    <t>BILLBOARD</t>
  </si>
  <si>
    <t>BILLBOARD_P</t>
  </si>
  <si>
    <t>ENGINEERED_EARTHWORK (AH025)</t>
  </si>
  <si>
    <t>ENGINEERED_EARTHWORK_C</t>
  </si>
  <si>
    <t>ENGINEERED_EARTHWORK_S</t>
  </si>
  <si>
    <t>FORTIFIED_BUILDING (AH055)</t>
  </si>
  <si>
    <t>FORTIFIED_BUILDING_P</t>
  </si>
  <si>
    <t>FORTIFIED_BUILDING_S</t>
  </si>
  <si>
    <t>UNDERGROUND_BUNKER</t>
  </si>
  <si>
    <t>UNDERGROUND_BUNKER_P</t>
  </si>
  <si>
    <t>UNDERGROUND_BUNKER_S</t>
  </si>
  <si>
    <t>CHECKPOINT</t>
  </si>
  <si>
    <t>CHECKPOINT_P</t>
  </si>
  <si>
    <t>CARAVAN_PARK</t>
  </si>
  <si>
    <t>CARAVAN_PARK_S</t>
  </si>
  <si>
    <t>MANUFACTURED_HOME_PARK (AI021)</t>
  </si>
  <si>
    <t>MANUFACTURED_HOME_PARK_S</t>
  </si>
  <si>
    <t>CAMP</t>
  </si>
  <si>
    <t>CAMP_P</t>
  </si>
  <si>
    <t>CAMP_S</t>
  </si>
  <si>
    <t>HOLDING_PEN</t>
  </si>
  <si>
    <t>HOLDING_PEN_P</t>
  </si>
  <si>
    <t>HOLDING_PEN_S</t>
  </si>
  <si>
    <t>WINDMILL</t>
  </si>
  <si>
    <t>WINDMILL_P</t>
  </si>
  <si>
    <t>WINDMILL_S</t>
  </si>
  <si>
    <t>WIND_TURBINE</t>
  </si>
  <si>
    <t>WIND_TURBINE_P</t>
  </si>
  <si>
    <t>WATER_MILL</t>
  </si>
  <si>
    <t>WATER_MILL_P</t>
  </si>
  <si>
    <t>WATER_MILL_S</t>
  </si>
  <si>
    <t>STABLE</t>
  </si>
  <si>
    <t>STABLE_P</t>
  </si>
  <si>
    <t>STABLE_S</t>
  </si>
  <si>
    <t>BARN</t>
  </si>
  <si>
    <t>BARN_P</t>
  </si>
  <si>
    <t>BARN_S</t>
  </si>
  <si>
    <t>GREENHOUSE</t>
  </si>
  <si>
    <t>GREENHOUSE_P</t>
  </si>
  <si>
    <t>GREENHOUSE_S</t>
  </si>
  <si>
    <t>AMUSEMENT_PARK_ATTRACTION</t>
  </si>
  <si>
    <t>AMUSEMENT_PARK_ATTRACTION_C</t>
  </si>
  <si>
    <t>AMUSEMENT_PARK_ATTRACTION_P</t>
  </si>
  <si>
    <t>AMUSEMENT_PARK_ATTRACTION_S</t>
  </si>
  <si>
    <t>AMUSEMENT_PARK</t>
  </si>
  <si>
    <t>AMUSEMENT_PARK_P</t>
  </si>
  <si>
    <t>AMUSEMENT_PARK_S</t>
  </si>
  <si>
    <t>SPORTS_GROUND</t>
  </si>
  <si>
    <t>SPORTS_GROUND_P</t>
  </si>
  <si>
    <t>SPORTS_GROUND_S</t>
  </si>
  <si>
    <t>CAMP_SITE</t>
  </si>
  <si>
    <t>CAMP_SITE_P</t>
  </si>
  <si>
    <t>CAMP_SITE_S</t>
  </si>
  <si>
    <t>PICNIC_SITE</t>
  </si>
  <si>
    <t>PICNIC_SITE_S</t>
  </si>
  <si>
    <t>DRIVE_IN_THEATRE</t>
  </si>
  <si>
    <t>DRIVE_IN_THEATRE_S</t>
  </si>
  <si>
    <t>OUTDOOR_THEATRE_SCREEN</t>
  </si>
  <si>
    <t>OUTDOOR_THEATRE_SCREEN_C</t>
  </si>
  <si>
    <t>OUTDOOR_THEATRE_SCREEN_P</t>
  </si>
  <si>
    <t>FAIRGROUND</t>
  </si>
  <si>
    <t>FAIRGROUND_S</t>
  </si>
  <si>
    <t>GOLF_COURSE</t>
  </si>
  <si>
    <t>GOLF_COURSE_S</t>
  </si>
  <si>
    <t>GOLF_DRIVING_RANGE</t>
  </si>
  <si>
    <t>GOLF_DRIVING_RANGE_S</t>
  </si>
  <si>
    <t>GRANDSTAND</t>
  </si>
  <si>
    <t>GRANDSTAND_P</t>
  </si>
  <si>
    <t>GRANDSTAND_S</t>
  </si>
  <si>
    <t>PARK</t>
  </si>
  <si>
    <t>PARK_S</t>
  </si>
  <si>
    <t>LOOKOUT</t>
  </si>
  <si>
    <t>LOOKOUT_P</t>
  </si>
  <si>
    <t>LOOKOUT_S</t>
  </si>
  <si>
    <t>RACETRACK</t>
  </si>
  <si>
    <t>RACETRACK_C</t>
  </si>
  <si>
    <t>RACETRACK_S</t>
  </si>
  <si>
    <t>SKI_JUMP</t>
  </si>
  <si>
    <t>SKI_JUMP_C</t>
  </si>
  <si>
    <t>SKI_JUMP_P</t>
  </si>
  <si>
    <t>SKI_RUN</t>
  </si>
  <si>
    <t>SKI_RUN_C</t>
  </si>
  <si>
    <t>SKI_RUN_S</t>
  </si>
  <si>
    <t>STADIUM</t>
  </si>
  <si>
    <t>STADIUM_P</t>
  </si>
  <si>
    <t>STADIUM_S</t>
  </si>
  <si>
    <t>SCOREBOARD</t>
  </si>
  <si>
    <t>SCOREBOARD_P</t>
  </si>
  <si>
    <t>AMPHITHEATRE</t>
  </si>
  <si>
    <t>AMPHITHEATRE_P</t>
  </si>
  <si>
    <t>AMPHITHEATRE_S</t>
  </si>
  <si>
    <t>SWIMMING_POOL</t>
  </si>
  <si>
    <t>SWIMMING_POOL_P</t>
  </si>
  <si>
    <t>SWIMMING_POOL_S</t>
  </si>
  <si>
    <t>ZOO</t>
  </si>
  <si>
    <t>ZOO_P</t>
  </si>
  <si>
    <t>ZOO_S</t>
  </si>
  <si>
    <t>FACILITY</t>
  </si>
  <si>
    <t>FACILITY_P</t>
  </si>
  <si>
    <t>FACILITY_S</t>
  </si>
  <si>
    <t>INSTALLATION</t>
  </si>
  <si>
    <t>INSTALLATION_P</t>
  </si>
  <si>
    <t>INSTALLATION_S</t>
  </si>
  <si>
    <t>ARCHEOLOGICAL_SITE</t>
  </si>
  <si>
    <t>ARCHAEOLOGICAL_SITE_P</t>
  </si>
  <si>
    <t>ARCHAEOLOGICAL_SITE_S</t>
  </si>
  <si>
    <t>BUILDING</t>
  </si>
  <si>
    <t>BUILDING_P</t>
  </si>
  <si>
    <t>BUILDING_S</t>
  </si>
  <si>
    <t>NON_BUILDING_STRUCTURE</t>
  </si>
  <si>
    <t>NON_BUILDING_STRUCTURE_P</t>
  </si>
  <si>
    <t>NON_BUILDING_STRUCTURE_S</t>
  </si>
  <si>
    <t>FIRE_HYDRANT</t>
  </si>
  <si>
    <t>FIRE_HYDRANT_P</t>
  </si>
  <si>
    <t>BUILDING_SUPERSTRUCTURE</t>
  </si>
  <si>
    <t>BUILDING_SUPERSTRUCTURE_C</t>
  </si>
  <si>
    <t>BUILDING_SUPERSTRUCTURE_P</t>
  </si>
  <si>
    <t>BUILDING_SUPERSTRUCTURE_S</t>
  </si>
  <si>
    <t>SHED</t>
  </si>
  <si>
    <t>SHED_P</t>
  </si>
  <si>
    <t>SHED_S</t>
  </si>
  <si>
    <t>BUILT_UP_AREA</t>
  </si>
  <si>
    <t>BUILT_UP_AREA_P</t>
  </si>
  <si>
    <t>BUILT_UP_AREA_S</t>
  </si>
  <si>
    <t>NEIGHBOURHOOD_S</t>
  </si>
  <si>
    <t>CAIRN</t>
  </si>
  <si>
    <t>CAIRN_P</t>
  </si>
  <si>
    <t>CEMETERY</t>
  </si>
  <si>
    <t>CEMETERY_P</t>
  </si>
  <si>
    <t>CEMETERY_S</t>
  </si>
  <si>
    <t>TOMB</t>
  </si>
  <si>
    <t>TOMB_P</t>
  </si>
  <si>
    <t>TOMB_S</t>
  </si>
  <si>
    <t>DRAGONS_TEETH</t>
  </si>
  <si>
    <t>DRAGONS_TEETH_C</t>
  </si>
  <si>
    <t>DRAGONS_TEETH_S</t>
  </si>
  <si>
    <t>MINEFIELD</t>
  </si>
  <si>
    <t>MINEFIELD_S</t>
  </si>
  <si>
    <t>FENCE</t>
  </si>
  <si>
    <t>FENCE_C</t>
  </si>
  <si>
    <t>FLAGPOLE</t>
  </si>
  <si>
    <t>FLAGPOLE_P</t>
  </si>
  <si>
    <t>GANTRY</t>
  </si>
  <si>
    <t>GANTRY_C</t>
  </si>
  <si>
    <t>GANTRY_P</t>
  </si>
  <si>
    <t>HUT</t>
  </si>
  <si>
    <t>HUT_P</t>
  </si>
  <si>
    <t>HUT_S</t>
  </si>
  <si>
    <t>SETTLEMENT</t>
  </si>
  <si>
    <t>SETTLEMENT_P</t>
  </si>
  <si>
    <t>SETTLEMENT_S</t>
  </si>
  <si>
    <t>LIGHT_SUPPORT_STRUCTURE</t>
  </si>
  <si>
    <t>LIGHT_SUPPORT_STRUCTURE_P</t>
  </si>
  <si>
    <t>MISSILE_SITE</t>
  </si>
  <si>
    <t>MISSILE_SITE_P</t>
  </si>
  <si>
    <t>MISSILE_SITE_S</t>
  </si>
  <si>
    <t>ANTI_AIRCRAFT_ARTILLERY_SITE_P</t>
  </si>
  <si>
    <t>ANTI_AIRCRAFT_ARTILLERY_SITE_S</t>
  </si>
  <si>
    <t>MEMORIAL_MONUMENT</t>
  </si>
  <si>
    <t>MEMORIAL_MONUMENT_C</t>
  </si>
  <si>
    <t>MEMORIAL_MONUMENT_P</t>
  </si>
  <si>
    <t>MEMORIAL_MONUMENT_S</t>
  </si>
  <si>
    <t>PARTICLE_ACCELERATOR</t>
  </si>
  <si>
    <t>PARTICLE_ACCELERATOR_C</t>
  </si>
  <si>
    <t>PARTICLE_ACCELERATOR_P</t>
  </si>
  <si>
    <t>PARTICLE_ACCELERATOR_S</t>
  </si>
  <si>
    <t>ASTRONOMICAL_OBSERVATORY</t>
  </si>
  <si>
    <t>ASTRONOMICAL_OBSERVATORY_P</t>
  </si>
  <si>
    <t>ASTRONOMICAL_OBSERVATORY_S</t>
  </si>
  <si>
    <t>OVERHEAD_OBSTRUCTION</t>
  </si>
  <si>
    <t>OVERHEAD_OBSTRUCTION_C</t>
  </si>
  <si>
    <t>OVERHEAD_OBSTRUCTION_P</t>
  </si>
  <si>
    <t>PIPELINE_CROSSING_POINT</t>
  </si>
  <si>
    <t>PIPELINE_CROSSING_POINT_P</t>
  </si>
  <si>
    <t>PUBLIC_SQUARE</t>
  </si>
  <si>
    <t>PUBLIC_SQUARE_P</t>
  </si>
  <si>
    <t>PUBLIC_SQUARE_S</t>
  </si>
  <si>
    <t>COURTYARD</t>
  </si>
  <si>
    <t>COURTYARD_S</t>
  </si>
  <si>
    <t>RETAIL_STAND</t>
  </si>
  <si>
    <t>RETAIL_STAND_S</t>
  </si>
  <si>
    <t>RAMP</t>
  </si>
  <si>
    <t>RAMP_C</t>
  </si>
  <si>
    <t>RAMP_S</t>
  </si>
  <si>
    <t>RUINS</t>
  </si>
  <si>
    <t>RUINS_P</t>
  </si>
  <si>
    <t>RUINS_S</t>
  </si>
  <si>
    <t>INTEREST_SITE</t>
  </si>
  <si>
    <t>INTEREST_SITE_P</t>
  </si>
  <si>
    <t>INTEREST_SITE_S</t>
  </si>
  <si>
    <t>SHANTY_TOWN</t>
  </si>
  <si>
    <t>SHANTY_TOWN_P</t>
  </si>
  <si>
    <t>SHANTY_TOWN_S</t>
  </si>
  <si>
    <t>TRANS_ROUTE_PROTECT_STRUCT</t>
  </si>
  <si>
    <t>TRANS_ROUTE_PROTECT_STRUCT_C</t>
  </si>
  <si>
    <t>TRANS_ROUTE_PROTECT_STRUCT_P</t>
  </si>
  <si>
    <t>TRANS_ROUTE_PROTECT_STRUCT_S</t>
  </si>
  <si>
    <t>TOWER</t>
  </si>
  <si>
    <t>TOWER_P</t>
  </si>
  <si>
    <t>TOWER_S</t>
  </si>
  <si>
    <t>UNDERGROUND_DWELLING</t>
  </si>
  <si>
    <t>UNDERGROUND_DWELLING_P</t>
  </si>
  <si>
    <t>WALL</t>
  </si>
  <si>
    <t>WALL_C</t>
  </si>
  <si>
    <t>INDUSTRIAL_FARM</t>
  </si>
  <si>
    <t>INDUSTRIAL_FARM_P</t>
  </si>
  <si>
    <t>INDUSTRIAL_FARM_S</t>
  </si>
  <si>
    <t>SPACE_FACILITY</t>
  </si>
  <si>
    <t>SPACE_FACILITY_P</t>
  </si>
  <si>
    <t>SPACE_FACILITY_S</t>
  </si>
  <si>
    <t>MANOR_HOUSE (AL371)</t>
  </si>
  <si>
    <t>MANOR_HOUSE_P</t>
  </si>
  <si>
    <t>MANOR_HOUSE_S</t>
  </si>
  <si>
    <t>CASTLE</t>
  </si>
  <si>
    <t>CASTLE_P</t>
  </si>
  <si>
    <t>CASTLE_S</t>
  </si>
  <si>
    <t>CASTLE_COMPLEX (AL376)</t>
  </si>
  <si>
    <t>CASTLE_COMPLEX_P</t>
  </si>
  <si>
    <t>CASTLE_COMPLEX_S</t>
  </si>
  <si>
    <t>TETHERED_BALLOON</t>
  </si>
  <si>
    <t>TETHERED_BALLOON_P</t>
  </si>
  <si>
    <t>STORAGE_DEPOT</t>
  </si>
  <si>
    <t>STORAGE_DEPOT_P</t>
  </si>
  <si>
    <t>STORAGE_DEPOT_S</t>
  </si>
  <si>
    <t>SHIPPING_CONTAINER</t>
  </si>
  <si>
    <t>SHIPPING_CONTAINER_P</t>
  </si>
  <si>
    <t>SHIPPING_CONTAINER_S</t>
  </si>
  <si>
    <t>GRAIN_STORAGE_STRUCTURE</t>
  </si>
  <si>
    <t>GRAIN_STORAGE_STRUCTURE_P</t>
  </si>
  <si>
    <t>GRAIN_STORAGE_STRUCTURE_S</t>
  </si>
  <si>
    <t>GRAIN_ELEVATOR</t>
  </si>
  <si>
    <t>GRAIN_ELEVATOR_P</t>
  </si>
  <si>
    <t>GRAIN_ELEVATOR_S</t>
  </si>
  <si>
    <t>MINERAL_PILE</t>
  </si>
  <si>
    <t>MINERAL_PILE_P</t>
  </si>
  <si>
    <t>MINERAL_PILE_S</t>
  </si>
  <si>
    <t>SURFACE_BUNKER</t>
  </si>
  <si>
    <t>SURFACE_BUNKER_P</t>
  </si>
  <si>
    <t>SURFACE_BUNKER_S</t>
  </si>
  <si>
    <t>MUNITION_STORAGE_FACILITY</t>
  </si>
  <si>
    <t>MUNITION_STORAGE_FACILITY_P</t>
  </si>
  <si>
    <t>MUNITION_STORAGE_FACILITY_S</t>
  </si>
  <si>
    <t>STORAGE_TANK</t>
  </si>
  <si>
    <t>STORAGE_TANK_P</t>
  </si>
  <si>
    <t>STORAGE_TANK_S</t>
  </si>
  <si>
    <t>TANK_FARM</t>
  </si>
  <si>
    <t>TANK_FARM_P</t>
  </si>
  <si>
    <t>TANK_FARM_S</t>
  </si>
  <si>
    <t>FUEL_STORAGE_FACILITY</t>
  </si>
  <si>
    <t>FUEL_STORAGE_FACILITY_P</t>
  </si>
  <si>
    <t>FUEL_STORAGE_FACILITY_S</t>
  </si>
  <si>
    <t>WATER_TOWER</t>
  </si>
  <si>
    <t>WATER_TOWER_P</t>
  </si>
  <si>
    <t>WATER_TOWER_S</t>
  </si>
  <si>
    <t>RAILWAY</t>
  </si>
  <si>
    <t>RAILWAY_C</t>
  </si>
  <si>
    <t>RAILWAY_SIDETRACK</t>
  </si>
  <si>
    <t>RAILWAY_SIDETRACK_C</t>
  </si>
  <si>
    <t>RAILWAY_YARD</t>
  </si>
  <si>
    <t>RAILWAY_YARD_P</t>
  </si>
  <si>
    <t>RAILWAY_YARD_S</t>
  </si>
  <si>
    <t>RAILWAY_TURNTABLE</t>
  </si>
  <si>
    <t>RAILWAY_TURNTABLE_P</t>
  </si>
  <si>
    <t>RAILWAY_TURNTABLE_S</t>
  </si>
  <si>
    <t>ROUNDHOUSE</t>
  </si>
  <si>
    <t>ROUNDHOUSE_P</t>
  </si>
  <si>
    <t>ROUNDHOUSE_S</t>
  </si>
  <si>
    <t>RAILWAY_SIGNAL</t>
  </si>
  <si>
    <t>RAILWAY_SIGNAL_P</t>
  </si>
  <si>
    <t>CART_TRACK</t>
  </si>
  <si>
    <t>CART_TRACK_C</t>
  </si>
  <si>
    <t>ROAD_INTERCHANGE</t>
  </si>
  <si>
    <t>ROAD_INTERCHANGE_P</t>
  </si>
  <si>
    <t>ROAD</t>
  </si>
  <si>
    <t>ROAD_C</t>
  </si>
  <si>
    <t>ROAD_S</t>
  </si>
  <si>
    <t>ENGINEERED_TURNAROUND_SITE (AP033)</t>
  </si>
  <si>
    <t>ENGINEERED_TURNAROUND_SITE_P</t>
  </si>
  <si>
    <t>GATE</t>
  </si>
  <si>
    <t>GATE_C</t>
  </si>
  <si>
    <t>VEHICLE_BARRIER</t>
  </si>
  <si>
    <t>GATE_P</t>
  </si>
  <si>
    <t>VEHICLE_BARRIER_C</t>
  </si>
  <si>
    <t>VEHICLE_BARRIER_P</t>
  </si>
  <si>
    <t>TRAIL</t>
  </si>
  <si>
    <t>TRAIL_C</t>
  </si>
  <si>
    <t>TANK_TRAIL (AP055)</t>
  </si>
  <si>
    <t>TANK_TRAIL_C</t>
  </si>
  <si>
    <t>TANK_TRAIL_S</t>
  </si>
  <si>
    <t>TANK_CROSSING (AP056)</t>
  </si>
  <si>
    <t>TANK_CROSSING_P</t>
  </si>
  <si>
    <t>TANK_CROSSING_S</t>
  </si>
  <si>
    <t>SIDEWALK</t>
  </si>
  <si>
    <t>SIDEWALK_C</t>
  </si>
  <si>
    <t>BRIDGE</t>
  </si>
  <si>
    <t>BRIDGE_C</t>
  </si>
  <si>
    <t>BRIDGE_P</t>
  </si>
  <si>
    <t>BRIDGE_S</t>
  </si>
  <si>
    <t>BRIDGE_SPAN</t>
  </si>
  <si>
    <t>BRIDGE_SPAN_C</t>
  </si>
  <si>
    <t>BRIDGE_SUPERSTRUCTURE</t>
  </si>
  <si>
    <t>BRIDGE_SPAN_P</t>
  </si>
  <si>
    <t>BRIDGE_TOWER</t>
  </si>
  <si>
    <t>BRIDGE_SPAN_S</t>
  </si>
  <si>
    <t>BRIDGE_SUPERSTRUCTURE_C</t>
  </si>
  <si>
    <t>BRIDGE_SUPERSTRUCTURE_S</t>
  </si>
  <si>
    <t>BRIDGE_TOWER_P</t>
  </si>
  <si>
    <t>BRIDGE_PIER</t>
  </si>
  <si>
    <t>BRIDGE_PIER_C</t>
  </si>
  <si>
    <t>BRIDGE_PIER_P</t>
  </si>
  <si>
    <t>BRIDGE_PIER_S</t>
  </si>
  <si>
    <t>TRANS_ROUTE_CHARACTER_CHANGE (AQ059)</t>
  </si>
  <si>
    <t>TRANS_ROUTE_CHARACTER_CHANGE_C</t>
  </si>
  <si>
    <t>TRANS_ROUTE_CHARACTER_CHANGE_P</t>
  </si>
  <si>
    <t>CONTROL_TOWER</t>
  </si>
  <si>
    <t>CONTROL_TOWER_P</t>
  </si>
  <si>
    <t>CONTROL_TOWER_S</t>
  </si>
  <si>
    <t>CROSSING</t>
  </si>
  <si>
    <t>CROSSING_P</t>
  </si>
  <si>
    <t>CAUSEWAY_STRUCTURE</t>
  </si>
  <si>
    <t>CAUSEWAY_STRUCTURE_C</t>
  </si>
  <si>
    <t>CAUSEWAY_STRUCTURE_S</t>
  </si>
  <si>
    <t>CULVERT</t>
  </si>
  <si>
    <t>CULVERT_C</t>
  </si>
  <si>
    <t>CULVERT_P</t>
  </si>
  <si>
    <t>TRANSPORTATION_BLOCK</t>
  </si>
  <si>
    <t>TRANSPORTATION_BLOCK_P</t>
  </si>
  <si>
    <t>TRANSPORTATION_BLOCK_S</t>
  </si>
  <si>
    <t>FERRY_CROSSING</t>
  </si>
  <si>
    <t>FERRY_CROSSING_C</t>
  </si>
  <si>
    <t>FERRY_CROSSING_P</t>
  </si>
  <si>
    <t>ICE_ROUTE</t>
  </si>
  <si>
    <t>ICE_ROUTE_C</t>
  </si>
  <si>
    <t>FERRY_STATION</t>
  </si>
  <si>
    <t>FERRY_STATION_P</t>
  </si>
  <si>
    <t>FERRY_STATION_S</t>
  </si>
  <si>
    <t>TUNNEL_MOUTH</t>
  </si>
  <si>
    <t>TUNNEL_MOUTH_P</t>
  </si>
  <si>
    <t>MOORING_MAST</t>
  </si>
  <si>
    <t>MOORING_MAST_P</t>
  </si>
  <si>
    <t>PREPARED_WATERCOURSE_CROSS</t>
  </si>
  <si>
    <t>PREPARED_WATERCOURSE_CROSS_P</t>
  </si>
  <si>
    <t>PIPELINE</t>
  </si>
  <si>
    <t>PIPELINE_C</t>
  </si>
  <si>
    <t>STORM_DRAIN</t>
  </si>
  <si>
    <t>STORM_DRAIN_P</t>
  </si>
  <si>
    <t>UTILITY_COVER</t>
  </si>
  <si>
    <t>UTILITY_ACCESS_POINT_P</t>
  </si>
  <si>
    <t>PUMPING_STATION</t>
  </si>
  <si>
    <t>PUMPING_STATION_P</t>
  </si>
  <si>
    <t>SHARP_CURVE</t>
  </si>
  <si>
    <t>PUMPING_STATION_S</t>
  </si>
  <si>
    <t>SHARP_CURVE_P</t>
  </si>
  <si>
    <t>STEEP_GRADE</t>
  </si>
  <si>
    <t>STEEP_GRADE_C</t>
  </si>
  <si>
    <t>TRANSPORTATION_STATION</t>
  </si>
  <si>
    <t>TRANSPORTATION_STATION_P</t>
  </si>
  <si>
    <t>TRANSPORTATION_STATION_S</t>
  </si>
  <si>
    <t>TUNNEL</t>
  </si>
  <si>
    <t>TUNNEL_C</t>
  </si>
  <si>
    <t>TUNNEL_S</t>
  </si>
  <si>
    <t>ROADSIDE_REST_AREA</t>
  </si>
  <si>
    <t>ROADSIDE_REST_AREA_P</t>
  </si>
  <si>
    <t>ROADSIDE_REST_AREA_S</t>
  </si>
  <si>
    <t>VEHICLE_LOT</t>
  </si>
  <si>
    <t>VEHICLE_LOT_S</t>
  </si>
  <si>
    <t>PARKING_GARAGE</t>
  </si>
  <si>
    <t>PARKING_GARAGE_P</t>
  </si>
  <si>
    <t>PARKING_GARAGE_S</t>
  </si>
  <si>
    <t>STAIR</t>
  </si>
  <si>
    <t>STAIR_C</t>
  </si>
  <si>
    <t>STAIR_S</t>
  </si>
  <si>
    <t>ARCADE</t>
  </si>
  <si>
    <t>ARCADE_C</t>
  </si>
  <si>
    <t>ARCADE_S</t>
  </si>
  <si>
    <t>TRAFFIC_LIGHT</t>
  </si>
  <si>
    <t>TRAFFIC_LIGHT_P</t>
  </si>
  <si>
    <t>STREET_LAMP</t>
  </si>
  <si>
    <t>STREET_LAMP_P</t>
  </si>
  <si>
    <t>STREET_SIGN</t>
  </si>
  <si>
    <t>STREET_SIGN_P</t>
  </si>
  <si>
    <t>MOTOR_VEHICLE_STATION</t>
  </si>
  <si>
    <t>MOTOR_VEHICLE_STATION_P</t>
  </si>
  <si>
    <t>MOTOR_VEHICLE_STATION_S</t>
  </si>
  <si>
    <t>CABLE</t>
  </si>
  <si>
    <t>CABLE_C</t>
  </si>
  <si>
    <t>DISH_AERIAL</t>
  </si>
  <si>
    <t>DISH_AERIAL_P</t>
  </si>
  <si>
    <t>AERIAL</t>
  </si>
  <si>
    <t>AERIAL_P</t>
  </si>
  <si>
    <t>AERIAL_FARM</t>
  </si>
  <si>
    <t>AERIAL_FARM_P</t>
  </si>
  <si>
    <t>AERIAL_FARM_S</t>
  </si>
  <si>
    <t>CABLEWAY</t>
  </si>
  <si>
    <t>CABLEWAY_C</t>
  </si>
  <si>
    <t>PYLON</t>
  </si>
  <si>
    <t>PYLON_P</t>
  </si>
  <si>
    <t>RADAR_STATION</t>
  </si>
  <si>
    <t>RADAR_STATION_P</t>
  </si>
  <si>
    <t>RADAR_STATION_S</t>
  </si>
  <si>
    <t>LAND_WATER_BOUNDARY</t>
  </si>
  <si>
    <t>LAND_WATER_BOUNDARY_C</t>
  </si>
  <si>
    <t>FORESHORE_S</t>
  </si>
  <si>
    <t>SHORELINE_C</t>
  </si>
  <si>
    <t>ISLAND</t>
  </si>
  <si>
    <t>ISLAND_P</t>
  </si>
  <si>
    <t>ISLAND_S</t>
  </si>
  <si>
    <t>TIDAL_WATER</t>
  </si>
  <si>
    <t>TIDAL_WATER_S</t>
  </si>
  <si>
    <t>BEACH_S</t>
  </si>
  <si>
    <t>HARBOUR</t>
  </si>
  <si>
    <t>HARBOUR_S</t>
  </si>
  <si>
    <t>HARBOUR_WATERS_S</t>
  </si>
  <si>
    <t>PORT</t>
  </si>
  <si>
    <t>PORT_P</t>
  </si>
  <si>
    <t>PORT_S</t>
  </si>
  <si>
    <t>ANCHORAGE_P</t>
  </si>
  <si>
    <t>ANCHORAGE_S</t>
  </si>
  <si>
    <t>ANCHOR_P</t>
  </si>
  <si>
    <t>BERTH_P</t>
  </si>
  <si>
    <t>CALLING_IN_POINT_P</t>
  </si>
  <si>
    <t>DOLPHIN_P</t>
  </si>
  <si>
    <t>SHORELINE_CONSTRUCTION</t>
  </si>
  <si>
    <t>SHORELINE_CONSTRUCTION_C</t>
  </si>
  <si>
    <t>SHORELINE_CONSTRUCTION_S</t>
  </si>
  <si>
    <t>SHORELINE_RAMP</t>
  </si>
  <si>
    <t>SHORELINE_RAMP_C</t>
  </si>
  <si>
    <t>SHORELINE_RAMP_S</t>
  </si>
  <si>
    <t>DRY_DOCK</t>
  </si>
  <si>
    <t>DRY_DOCK_S</t>
  </si>
  <si>
    <t>FISHING_STAKES_C</t>
  </si>
  <si>
    <t>FISH_WEIR</t>
  </si>
  <si>
    <t>FISH_WEIR_P</t>
  </si>
  <si>
    <t>FISH_WEIR_S</t>
  </si>
  <si>
    <t>NAUTICAL_GRIDIRON_S</t>
  </si>
  <si>
    <t>BEACH_LANDING_SITE_P</t>
  </si>
  <si>
    <t>BEACH_LANDING_SITE_S</t>
  </si>
  <si>
    <t>MARITIME_SIGNAL_STATION_P</t>
  </si>
  <si>
    <t>FLOATING_DRY_DOCK</t>
  </si>
  <si>
    <t>FLOATING_DRY_DOCK_S</t>
  </si>
  <si>
    <t>SMALL_CRAFT_FACILITY</t>
  </si>
  <si>
    <t>SMALL_CRAFT_FACILITY_P</t>
  </si>
  <si>
    <t>SMALL_CRAFT_FACILITY_S</t>
  </si>
  <si>
    <t>SHIPYARD</t>
  </si>
  <si>
    <t>SHIPYARD_P</t>
  </si>
  <si>
    <t>SHIPYARD_S</t>
  </si>
  <si>
    <t>MARITIME_NAVIGATION_BEACON_P</t>
  </si>
  <si>
    <t>BUOY_P</t>
  </si>
  <si>
    <t>MARITIME_RADIOBEACON_P</t>
  </si>
  <si>
    <t>MARITIME_NAVIGATION_LIGHT_P</t>
  </si>
  <si>
    <t>MARITIME_NAV_LIGHT_SUPPORT_P</t>
  </si>
  <si>
    <t>LIGHTHOUSE</t>
  </si>
  <si>
    <t>LIGHTHOUSE_P</t>
  </si>
  <si>
    <t>LIGHTHOUSE_S</t>
  </si>
  <si>
    <t>MARITIME_NAVIGATION_MARKER_P</t>
  </si>
  <si>
    <t>LIGHT_SECTOR_P</t>
  </si>
  <si>
    <t>LIGHT_VESSEL</t>
  </si>
  <si>
    <t>LIGHT_VESSEL_P</t>
  </si>
  <si>
    <t>INSUBSTANTIAL_NAV_MARK_P</t>
  </si>
  <si>
    <t>CRIB_P</t>
  </si>
  <si>
    <t>CRIB_S</t>
  </si>
  <si>
    <t>DISCOLOURED_WATER_P</t>
  </si>
  <si>
    <t>DISCOLOURED_WATER_S</t>
  </si>
  <si>
    <t>FOUL_GROUND_P</t>
  </si>
  <si>
    <t>FOUL_GROUND_S</t>
  </si>
  <si>
    <t>AQUATIC_VEGETATION_P</t>
  </si>
  <si>
    <t>AQUATIC_VEGETATION_S</t>
  </si>
  <si>
    <t>STRUCTURAL_PILE</t>
  </si>
  <si>
    <t>STRUCTURAL_PILE_P</t>
  </si>
  <si>
    <t>STRUCTURAL_PILE_S</t>
  </si>
  <si>
    <t>OFFSHORE_CONSTRUCTION</t>
  </si>
  <si>
    <t>OFFSHORE_CONSTRUCTION_P</t>
  </si>
  <si>
    <t>OFFSHORE_CONSTRUCTION_S</t>
  </si>
  <si>
    <t>REEF_C</t>
  </si>
  <si>
    <t>REEF_S</t>
  </si>
  <si>
    <t>HAZARDOUS_ROCK_P</t>
  </si>
  <si>
    <t>SNAG_P</t>
  </si>
  <si>
    <t>SNAG</t>
  </si>
  <si>
    <t>SNAG_S</t>
  </si>
  <si>
    <t>WRECK_P</t>
  </si>
  <si>
    <t>WRECK_S</t>
  </si>
  <si>
    <t>HULK</t>
  </si>
  <si>
    <t>HULK_P</t>
  </si>
  <si>
    <t>DEPTH_CURVE_C</t>
  </si>
  <si>
    <t>DEPTH_CONTOUR_C</t>
  </si>
  <si>
    <t>DEPTH_AREA_S</t>
  </si>
  <si>
    <t>SOUNDING_P</t>
  </si>
  <si>
    <t>BEACH_PROFILE_C</t>
  </si>
  <si>
    <t>BOTTOM_CHARACTER_REGION_P</t>
  </si>
  <si>
    <t>BOTTOM_CHARACTER_REGION_S</t>
  </si>
  <si>
    <t>WATER_MOVEMENT_DATA_LOCATION_P</t>
  </si>
  <si>
    <t>WATER_TURBULENCE_C</t>
  </si>
  <si>
    <t>WATER_TURBULENCE_P</t>
  </si>
  <si>
    <t>WATER_TURBULENCE_S</t>
  </si>
  <si>
    <t>TIDAL_STREAM_OBSERVE_STATION_P</t>
  </si>
  <si>
    <t>AQUEDUCT</t>
  </si>
  <si>
    <t>AQUEDUCT_C</t>
  </si>
  <si>
    <t>AQUEDUCT_S</t>
  </si>
  <si>
    <t>QANAT_SHAFT</t>
  </si>
  <si>
    <t>QANAT_SHAFT_P</t>
  </si>
  <si>
    <t>BOG</t>
  </si>
  <si>
    <t>BOG_S</t>
  </si>
  <si>
    <t>CANAL</t>
  </si>
  <si>
    <t>NAVIGABLE_CANAL_C</t>
  </si>
  <si>
    <t>NAVIGABLE_CANAL_S</t>
  </si>
  <si>
    <t>DITCH</t>
  </si>
  <si>
    <t>DITCH_C</t>
  </si>
  <si>
    <t>DITCH_S</t>
  </si>
  <si>
    <t>WATER_TREATMENT_BED</t>
  </si>
  <si>
    <t>WATER_TREATMENT_BED_S</t>
  </si>
  <si>
    <t>MARICULTURE_SITE_S</t>
  </si>
  <si>
    <t>FISH_FARM_FACILITY</t>
  </si>
  <si>
    <t>FISH_FARM_FACILITY_P</t>
  </si>
  <si>
    <t>FISH_FARM_FACILITY_S</t>
  </si>
  <si>
    <t>WATER_RACE</t>
  </si>
  <si>
    <t>WATER_RACE_C</t>
  </si>
  <si>
    <t>FORD</t>
  </si>
  <si>
    <t>FORD_C</t>
  </si>
  <si>
    <t>FORD_P</t>
  </si>
  <si>
    <t>FORD_S</t>
  </si>
  <si>
    <t>FOUNTAIN</t>
  </si>
  <si>
    <t>FOUNTAIN_P</t>
  </si>
  <si>
    <t>FOUNTAIN_S</t>
  </si>
  <si>
    <t>HUMMOCK</t>
  </si>
  <si>
    <t>HUMMOCK_S</t>
  </si>
  <si>
    <t>INLAND_WATERBODY</t>
  </si>
  <si>
    <t>INLAND_WATERBODY_P</t>
  </si>
  <si>
    <t>INLAND_WATERBODY_S</t>
  </si>
  <si>
    <t>LAND_SUBJECT_TO_INUNDATION</t>
  </si>
  <si>
    <t>LAND_SUBJECT_TO_INUNDATION_S</t>
  </si>
  <si>
    <t>MOAT</t>
  </si>
  <si>
    <t>MOAT_C</t>
  </si>
  <si>
    <t>MOAT_S</t>
  </si>
  <si>
    <t>PENSTOCK</t>
  </si>
  <si>
    <t>PENSTOCK_C</t>
  </si>
  <si>
    <t>AQUIFER</t>
  </si>
  <si>
    <t>AQUIFER_S</t>
  </si>
  <si>
    <t>RAPIDS</t>
  </si>
  <si>
    <t>RAPIDS_C</t>
  </si>
  <si>
    <t>RAPIDS_P</t>
  </si>
  <si>
    <t>RAPIDS_S</t>
  </si>
  <si>
    <t>RICE_FIELD</t>
  </si>
  <si>
    <t>RICE_FIELD_S</t>
  </si>
  <si>
    <t>RIVER</t>
  </si>
  <si>
    <t>RIVER_C</t>
  </si>
  <si>
    <t>RIVER_S</t>
  </si>
  <si>
    <t>VANISHING_POINT</t>
  </si>
  <si>
    <t>VANISHING_POINT_P</t>
  </si>
  <si>
    <t>SALT_FLAT</t>
  </si>
  <si>
    <t>SALT_FLAT_S</t>
  </si>
  <si>
    <t>SALT_EVAPORATOR</t>
  </si>
  <si>
    <t>SALT_EVAPORATOR_P</t>
  </si>
  <si>
    <t>SALT_EVAPORATOR_S</t>
  </si>
  <si>
    <t>SABKHA</t>
  </si>
  <si>
    <t>SABKHA_S</t>
  </si>
  <si>
    <t>SPILLWAY</t>
  </si>
  <si>
    <t>SPILLWAY_C</t>
  </si>
  <si>
    <t>SPILLWAY_S</t>
  </si>
  <si>
    <t>NATURAL_POOL</t>
  </si>
  <si>
    <t>NATURAL_POOL_P</t>
  </si>
  <si>
    <t>NATURAL_POOL_S</t>
  </si>
  <si>
    <t>WATERFALL</t>
  </si>
  <si>
    <t>WATERFALL_C</t>
  </si>
  <si>
    <t>WATERFALL_P</t>
  </si>
  <si>
    <t>LAGOON_S</t>
  </si>
  <si>
    <t>WATERWORK</t>
  </si>
  <si>
    <t>WATERWORK_P</t>
  </si>
  <si>
    <t>WATERWORK_S</t>
  </si>
  <si>
    <t>WATER_WELL</t>
  </si>
  <si>
    <t>WATER_WELL_P</t>
  </si>
  <si>
    <t>WATER_WELL_S</t>
  </si>
  <si>
    <t>VESSEL_LIFT</t>
  </si>
  <si>
    <t>VESSEL_LIFT_S</t>
  </si>
  <si>
    <t>SHIP_ELEVATOR</t>
  </si>
  <si>
    <t>SHIP_ELEVATOR_C</t>
  </si>
  <si>
    <t>SHIP_ELEVATOR_P</t>
  </si>
  <si>
    <t>SHIP_ELEVATOR_S</t>
  </si>
  <si>
    <t>CISTERN</t>
  </si>
  <si>
    <t>CISTERN_P</t>
  </si>
  <si>
    <t>DAM</t>
  </si>
  <si>
    <t>DAM_C</t>
  </si>
  <si>
    <t>DAM_P</t>
  </si>
  <si>
    <t>DAM_S</t>
  </si>
  <si>
    <t>LOCK</t>
  </si>
  <si>
    <t>LOCK_C</t>
  </si>
  <si>
    <t>LOCK_P</t>
  </si>
  <si>
    <t>LOCK_S</t>
  </si>
  <si>
    <t>SLUICE_GATE</t>
  </si>
  <si>
    <t>SLUICE_GATE_C</t>
  </si>
  <si>
    <t>SLUICE_GATE_P</t>
  </si>
  <si>
    <t>FLOOD_CONTROL_STRUCTURE</t>
  </si>
  <si>
    <t>FLOOD_CONTROL_STRUCTURE_C</t>
  </si>
  <si>
    <t>FLOOD_CONTROL_STRUCTURE_P</t>
  </si>
  <si>
    <t>FLOOD_CONTROL_STRUCTURE_S</t>
  </si>
  <si>
    <t>BASIN_GATE</t>
  </si>
  <si>
    <t>BASIN_GATE_C</t>
  </si>
  <si>
    <t>BASIN_GATE_P</t>
  </si>
  <si>
    <t>WATER_INTAKE_TOWER</t>
  </si>
  <si>
    <t>WATER_INTAKE_TOWER_P</t>
  </si>
  <si>
    <t>WATER_INTAKE_TOWER_S</t>
  </si>
  <si>
    <t>FISH_LADDER</t>
  </si>
  <si>
    <t>FISH_LADDER_C</t>
  </si>
  <si>
    <t>GAUGING_STATION</t>
  </si>
  <si>
    <t>GAUGING_STATION_P</t>
  </si>
  <si>
    <t>MORAINE</t>
  </si>
  <si>
    <t>MORAINE_S</t>
  </si>
  <si>
    <t>GLACIER</t>
  </si>
  <si>
    <t>GLACIER_S</t>
  </si>
  <si>
    <t>CREVASSE</t>
  </si>
  <si>
    <t>CREVASSE_C</t>
  </si>
  <si>
    <t>CREVASSE_S</t>
  </si>
  <si>
    <t>ICE_CLIFF</t>
  </si>
  <si>
    <t>ICE_CLIFF_C</t>
  </si>
  <si>
    <t>ICE_PEAK</t>
  </si>
  <si>
    <t>ICE_PEAK_P</t>
  </si>
  <si>
    <t>ICE_SHELF</t>
  </si>
  <si>
    <t>ICE_SHELF_S</t>
  </si>
  <si>
    <t>PACK_ICE_C</t>
  </si>
  <si>
    <t>PACK_ICE_S</t>
  </si>
  <si>
    <t>POLAR_ICE</t>
  </si>
  <si>
    <t>POLAR_ICE_S</t>
  </si>
  <si>
    <t>ICE_CAP</t>
  </si>
  <si>
    <t>ICE_CAP_S</t>
  </si>
  <si>
    <t>SNOW_ICE_FIELD</t>
  </si>
  <si>
    <t>SNOW_ICE_FIELD_S</t>
  </si>
  <si>
    <t>TUNDRA</t>
  </si>
  <si>
    <t>TUNDRA_S</t>
  </si>
  <si>
    <t>ELEVATION_CONTOUR</t>
  </si>
  <si>
    <t>ELEVATION_CONTOUR_C</t>
  </si>
  <si>
    <t>SPOT_ELEVATION</t>
  </si>
  <si>
    <t>SPOT_ELEVATION_P</t>
  </si>
  <si>
    <t>ASPHALT_LAKE</t>
  </si>
  <si>
    <t>ASPHALT_LAKE_S</t>
  </si>
  <si>
    <t>SOIL_SURFACE_REGION</t>
  </si>
  <si>
    <t>SOIL_SURFACE_REGION_S</t>
  </si>
  <si>
    <t>STEEP_TERRAIN_FACE</t>
  </si>
  <si>
    <t>STEEP_TERRAIN_FACE_C</t>
  </si>
  <si>
    <t>CAVE_CHAMBER</t>
  </si>
  <si>
    <t>CAVE_CHAMBER_S</t>
  </si>
  <si>
    <t>CAVE_MOUTH</t>
  </si>
  <si>
    <t>CAVE_MOUTH_P</t>
  </si>
  <si>
    <t>CREVICE</t>
  </si>
  <si>
    <t>CREVICE_C</t>
  </si>
  <si>
    <t>CREVICE_S</t>
  </si>
  <si>
    <t>CUT</t>
  </si>
  <si>
    <t>CUT_C</t>
  </si>
  <si>
    <t>CUT_LINE</t>
  </si>
  <si>
    <t>CUT_LINE_C</t>
  </si>
  <si>
    <t>DEPRESSION</t>
  </si>
  <si>
    <t>DEPRESSION_P</t>
  </si>
  <si>
    <t>DEPRESSION_S</t>
  </si>
  <si>
    <t>EMBANKMENT</t>
  </si>
  <si>
    <t>EMBANKMENT_C</t>
  </si>
  <si>
    <t>EMBANKMENT_S</t>
  </si>
  <si>
    <t>ESKER</t>
  </si>
  <si>
    <t>ESKER_C</t>
  </si>
  <si>
    <t>GEOLOGIC_FAULT</t>
  </si>
  <si>
    <t>GEOLOGIC_FAULT_C</t>
  </si>
  <si>
    <t>GEOTHERMAL_OUTLET</t>
  </si>
  <si>
    <t>GEOTHERMAL_OUTLET_P</t>
  </si>
  <si>
    <t>GEOTHERMAL_OUTLET_S</t>
  </si>
  <si>
    <t>MOUNTAIN_PASS</t>
  </si>
  <si>
    <t>MOUNTAIN_PASS_P</t>
  </si>
  <si>
    <t>ROCK_FORMATION_P</t>
  </si>
  <si>
    <t>ROCK_FORMATION</t>
  </si>
  <si>
    <t>ROCK_FORMATION_S</t>
  </si>
  <si>
    <t>SAND_DUNES</t>
  </si>
  <si>
    <t>SAND_DUNES_S</t>
  </si>
  <si>
    <t>VOLCANO</t>
  </si>
  <si>
    <t>VOLCANO_P</t>
  </si>
  <si>
    <t>VOLCANO_S</t>
  </si>
  <si>
    <t>CRATER_P</t>
  </si>
  <si>
    <t>CRATER_S</t>
  </si>
  <si>
    <t>VOLCANIC_DYKE</t>
  </si>
  <si>
    <t>VOLCANIC_DYKE_C</t>
  </si>
  <si>
    <t>LANDSLIDE_MASS</t>
  </si>
  <si>
    <t>LANDSLIDE_MASS_S</t>
  </si>
  <si>
    <t>CROP_LAND</t>
  </si>
  <si>
    <t>CROP_LAND_S</t>
  </si>
  <si>
    <t>HEDGEROW</t>
  </si>
  <si>
    <t>HEDGEROW_C</t>
  </si>
  <si>
    <t>PLANT_NURSERY</t>
  </si>
  <si>
    <t>PLANT_NURSERY_S</t>
  </si>
  <si>
    <t>BOTANIC_GARDEN</t>
  </si>
  <si>
    <t>BOTANIC_GARDEN_S</t>
  </si>
  <si>
    <t>ORCHARD</t>
  </si>
  <si>
    <t>ORCHARD_P</t>
  </si>
  <si>
    <t>ORCHARD_S</t>
  </si>
  <si>
    <t>VINEYARD</t>
  </si>
  <si>
    <t>VINEYARD_P</t>
  </si>
  <si>
    <t>VINEYARD_S</t>
  </si>
  <si>
    <t>HOP_FIELD</t>
  </si>
  <si>
    <t>HOP_FIELD_S</t>
  </si>
  <si>
    <t>GRASSLAND</t>
  </si>
  <si>
    <t>GRASSLAND_S</t>
  </si>
  <si>
    <t>THICKET</t>
  </si>
  <si>
    <t>THICKET_S</t>
  </si>
  <si>
    <t>BRUSH</t>
  </si>
  <si>
    <t>BRUSH_S</t>
  </si>
  <si>
    <t>TREE</t>
  </si>
  <si>
    <t>TREE_P</t>
  </si>
  <si>
    <t>CANE</t>
  </si>
  <si>
    <t>CANE_S</t>
  </si>
  <si>
    <t>FOREST</t>
  </si>
  <si>
    <t>FOREST_C</t>
  </si>
  <si>
    <t>OASIS</t>
  </si>
  <si>
    <t>FOREST_S</t>
  </si>
  <si>
    <t>OASIS_P</t>
  </si>
  <si>
    <t>OASIS_S</t>
  </si>
  <si>
    <t>CLEARED_WAY</t>
  </si>
  <si>
    <t>CLEARED_WAY_C</t>
  </si>
  <si>
    <t>CLEARED_WAY_S</t>
  </si>
  <si>
    <t>GROVE_P</t>
  </si>
  <si>
    <t>GROVE_S</t>
  </si>
  <si>
    <t>FOREST_CLEARING</t>
  </si>
  <si>
    <t>FOREST_CLEARING_S</t>
  </si>
  <si>
    <t>MARSH</t>
  </si>
  <si>
    <t>MARSH_S</t>
  </si>
  <si>
    <t>SWAMP</t>
  </si>
  <si>
    <t>SWAMP_S</t>
  </si>
  <si>
    <t>LOGGING_SITE</t>
  </si>
  <si>
    <t>LOGGING_SITE_S</t>
  </si>
  <si>
    <t>DESERT</t>
  </si>
  <si>
    <t>DESERT_S</t>
  </si>
  <si>
    <t>ADMINISTRATIVE_BOUNDARY_C</t>
  </si>
  <si>
    <t>GEOPOLITICAL_ENTITY_S</t>
  </si>
  <si>
    <t>ADMINISTRATIVE_SUBDIVISION_S</t>
  </si>
  <si>
    <t>CONTAMINATED_REGION</t>
  </si>
  <si>
    <t>CONTAMINATED_REGION_P</t>
  </si>
  <si>
    <t>CONTAMINATED_REGION_S</t>
  </si>
  <si>
    <t>FIRING_RANGE</t>
  </si>
  <si>
    <t>FIRING_RANGE_P</t>
  </si>
  <si>
    <t>FIRING_RANGE_S</t>
  </si>
  <si>
    <t>TEST_SITE</t>
  </si>
  <si>
    <t>TEST_SITE_S</t>
  </si>
  <si>
    <t>INTERNATIONAL_DATE_LINE_C</t>
  </si>
  <si>
    <t>TRAINING_SITE</t>
  </si>
  <si>
    <t>TRAINING_SITE_P</t>
  </si>
  <si>
    <t>TRAINING_SITE_S</t>
  </si>
  <si>
    <t>CONSERVATION_AREA</t>
  </si>
  <si>
    <t>CONSERVATION_AREA_S</t>
  </si>
  <si>
    <t>MARITIME_LIMIT_C</t>
  </si>
  <si>
    <t>DREDGED_AREA_S</t>
  </si>
  <si>
    <t>WATERBODY_DIVIDER_S</t>
  </si>
  <si>
    <t>MARITIME_CAUTION_AREA_S</t>
  </si>
  <si>
    <t>TRAFFIC_SEPARATION_SCHEME_C</t>
  </si>
  <si>
    <t>TRAFFIC_SEPARATION_SCHEME_P</t>
  </si>
  <si>
    <t>TRAFFIC_SEPARATION_SCHEME_S</t>
  </si>
  <si>
    <t>MEASURED_DISTANCE_LINE_C</t>
  </si>
  <si>
    <t>MARITIME_RADAR_REF_LINE_C</t>
  </si>
  <si>
    <t>MARITIME_ROUTE_C</t>
  </si>
  <si>
    <t>MARITIME_ROUTE_S</t>
  </si>
  <si>
    <t>SWEPT_AREA_S</t>
  </si>
  <si>
    <t>AERO_RADIO_NAV_INSTALLATION_P</t>
  </si>
  <si>
    <t>LAND_AERODROME</t>
  </si>
  <si>
    <t>LAND_AERODROME_P</t>
  </si>
  <si>
    <t>LAND_AERODROME_S</t>
  </si>
  <si>
    <t>AERODROME_BEACON_P</t>
  </si>
  <si>
    <t>APRON</t>
  </si>
  <si>
    <t>APRON_S</t>
  </si>
  <si>
    <t>HELIPAD</t>
  </si>
  <si>
    <t>HELIPAD_P</t>
  </si>
  <si>
    <t>HELIPAD_S</t>
  </si>
  <si>
    <t>HELIPORT</t>
  </si>
  <si>
    <t>HELIPORT_P</t>
  </si>
  <si>
    <t>LAUNCH_PAD</t>
  </si>
  <si>
    <t>HELIPORT_S</t>
  </si>
  <si>
    <t>STOPWAY</t>
  </si>
  <si>
    <t>LAUNCH_PAD_P</t>
  </si>
  <si>
    <t>LAUNCH_PAD_S</t>
  </si>
  <si>
    <t>STOPWAY_S</t>
  </si>
  <si>
    <t>DEFENSIVE_REVETMENT</t>
  </si>
  <si>
    <t>DEFENSIVE_REVETMENT_C</t>
  </si>
  <si>
    <t>RUNWAY</t>
  </si>
  <si>
    <t>RUNWAY_S</t>
  </si>
  <si>
    <t>WATER_AERODROME</t>
  </si>
  <si>
    <t>WATER_AERODROME_P</t>
  </si>
  <si>
    <t>WATER_AERODROME_S</t>
  </si>
  <si>
    <t>SEAPLANE_RUN</t>
  </si>
  <si>
    <t>SEAPLANE_RUN_S</t>
  </si>
  <si>
    <t>TAXIWAY</t>
  </si>
  <si>
    <t>TAXIWAY_C</t>
  </si>
  <si>
    <t>TAXIWAY_S</t>
  </si>
  <si>
    <t>AIRCRAFT_HANGAR</t>
  </si>
  <si>
    <t>AIRCRAFT_HANGAR_P</t>
  </si>
  <si>
    <t>AIRCRAFT_HANGAR_S</t>
  </si>
  <si>
    <t>HARDENED_AIRCRAFT_SHELTER</t>
  </si>
  <si>
    <t>HARDENED_AIRCRAFT_SHELTER_P</t>
  </si>
  <si>
    <t>HARDENED_AIRCRAFT_SHELTER_S</t>
  </si>
  <si>
    <t>LAND_PARCEL</t>
  </si>
  <si>
    <t>LAND_PARCEL_S</t>
  </si>
  <si>
    <t>DRAINAGE_BASIN_S</t>
  </si>
  <si>
    <t>AQUEDUCT_AON_S</t>
  </si>
  <si>
    <t>NAVIGABLE_CANAL_AON_S</t>
  </si>
  <si>
    <t>DITCH_AON_S</t>
  </si>
  <si>
    <t>INLAND_WATERBODY_AON_S</t>
  </si>
  <si>
    <t>RIVER_AON_S</t>
  </si>
  <si>
    <t>SABKHA_AON_S</t>
  </si>
  <si>
    <t>NATURAL_POOL_AON_S</t>
  </si>
  <si>
    <t>WATER_WELL_AON_S</t>
  </si>
  <si>
    <t>CISTERN_AON_S</t>
  </si>
  <si>
    <t>STORAGE_TANK_AON_S</t>
  </si>
  <si>
    <t>PIPELINE_AON_S</t>
  </si>
  <si>
    <t>PUMPING_STATION_AON_S</t>
  </si>
  <si>
    <t>SWIMMING_POOL_AON_S</t>
  </si>
  <si>
    <t>SLOPE_REGION_S</t>
  </si>
  <si>
    <t>LANDING_ZONE_P</t>
  </si>
  <si>
    <t>LANDING_ZONE_S</t>
  </si>
  <si>
    <t>MILITARY_BOUNDARY_C</t>
  </si>
  <si>
    <t>STANDPIPE_P</t>
  </si>
  <si>
    <t>MILITARY_INSTALLATION</t>
  </si>
  <si>
    <t>MILITARY_INSTALLATION_P</t>
  </si>
  <si>
    <t>MILITARY_INSTALLATION_S</t>
  </si>
  <si>
    <t>CANTONMENT_AREA (SU004)</t>
  </si>
  <si>
    <t>CANTONMENT_AREA_S</t>
  </si>
  <si>
    <t>INSTALLATION_BOUNDARY_C</t>
  </si>
  <si>
    <t>INSTALLATION_BOUNDARY (SU040)</t>
  </si>
  <si>
    <t>PUMP_P</t>
  </si>
  <si>
    <t>CODE_LIST_T</t>
  </si>
  <si>
    <t>BOUNDARY_MONUMENT</t>
  </si>
  <si>
    <t>SURVEY_POINT</t>
  </si>
  <si>
    <t>VOID_COLLECTION_AREA</t>
  </si>
  <si>
    <t>BENCHMARK_P</t>
  </si>
  <si>
    <t>NAMED_LOCATION</t>
  </si>
  <si>
    <t>BOUNDARY_MONUMENT_P</t>
  </si>
  <si>
    <t>ANNOTATED_LOCATION</t>
  </si>
  <si>
    <t>WATER_MEASUREMENT_LOCATION</t>
  </si>
  <si>
    <t>DISTANCE_MARK_P</t>
  </si>
  <si>
    <t>SURVEY_POINT_P</t>
  </si>
  <si>
    <t>GEODETIC_POINT_P</t>
  </si>
  <si>
    <t>LOCAL_MAGNETIC_ANOMALY_S</t>
  </si>
  <si>
    <t>VOID_COLLECTION_AREA_S</t>
  </si>
  <si>
    <t>CULTURAL_CONTEXT_LOCATION_P</t>
  </si>
  <si>
    <t>CULTURAL_CONTEXT_LOCATION_S</t>
  </si>
  <si>
    <t>NAMED_LOCATION_C</t>
  </si>
  <si>
    <t>NAMED_LOCATION_P</t>
  </si>
  <si>
    <t>NAMED_LOCATION_S</t>
  </si>
  <si>
    <t>ANNOTATED_LOCATION_C</t>
  </si>
  <si>
    <t>ANNOTATED_LOCATION_P</t>
  </si>
  <si>
    <t>ANNOTATED_LOCATION_S</t>
  </si>
  <si>
    <t>WATER_MEASUREMENT_LOCATION_P</t>
  </si>
  <si>
    <t>WATER_MEASUREMENT_LOCATION_S</t>
  </si>
  <si>
    <t>RESTRICTION_INFO_T</t>
  </si>
  <si>
    <t>DATASET_S</t>
  </si>
  <si>
    <t>DATASET_T</t>
  </si>
  <si>
    <t>ENTITY_COLLECTION_METADATA_S</t>
  </si>
  <si>
    <t>ENTITY_COLLECTION_METADATA_T</t>
  </si>
  <si>
    <t>WELL</t>
  </si>
  <si>
    <t>direct, real</t>
  </si>
  <si>
    <t>integer, meters</t>
  </si>
  <si>
    <t>status</t>
  </si>
  <si>
    <t>AA050</t>
  </si>
  <si>
    <t>BMC</t>
  </si>
  <si>
    <t>MCC</t>
  </si>
  <si>
    <t>MCC2</t>
  </si>
  <si>
    <t>MCC3</t>
  </si>
  <si>
    <t>BMC2</t>
  </si>
  <si>
    <t>BMC3</t>
  </si>
  <si>
    <t>VCM</t>
  </si>
  <si>
    <t>VCM2</t>
  </si>
  <si>
    <t>VCM3</t>
  </si>
  <si>
    <t>BBMCA</t>
  </si>
  <si>
    <t>BBMCA2</t>
  </si>
  <si>
    <t>BBMCA3</t>
  </si>
  <si>
    <t>BBMCB</t>
  </si>
  <si>
    <t>BBMCB2</t>
  </si>
  <si>
    <t>BBMCB3</t>
  </si>
  <si>
    <t>ZI016_ROC</t>
  </si>
  <si>
    <t>ZI019_ASU</t>
  </si>
  <si>
    <t>ZI019_ASU2</t>
  </si>
  <si>
    <t>ZI019_ASU3</t>
  </si>
  <si>
    <t>TSM</t>
  </si>
  <si>
    <t>TSM2</t>
  </si>
  <si>
    <t>TSM3</t>
  </si>
  <si>
    <t>WWM</t>
  </si>
  <si>
    <t>WWM2</t>
  </si>
  <si>
    <t>WWM3</t>
  </si>
  <si>
    <t>TSSM</t>
  </si>
  <si>
    <t>TSSM2</t>
  </si>
  <si>
    <t>TSSM3</t>
  </si>
  <si>
    <t>MBC_MCC1</t>
  </si>
  <si>
    <t>GGDM Attribute</t>
  </si>
  <si>
    <t>Material</t>
  </si>
  <si>
    <t>null</t>
  </si>
  <si>
    <t>No Information</t>
  </si>
  <si>
    <t>Clay and Silt</t>
  </si>
  <si>
    <t>Silty Sands</t>
  </si>
  <si>
    <t>Sand and Gravel</t>
  </si>
  <si>
    <t>Gravel and Cobble</t>
  </si>
  <si>
    <t>Rocks and Boulders</t>
  </si>
  <si>
    <t>Bedrock</t>
  </si>
  <si>
    <t>Sand over Mud</t>
  </si>
  <si>
    <t>BH141_SLTA</t>
  </si>
  <si>
    <t>BH141_SLTB</t>
  </si>
  <si>
    <t>ZI032_PYM</t>
  </si>
  <si>
    <t>ASU</t>
  </si>
  <si>
    <t>ASU2</t>
  </si>
  <si>
    <t>ASU3</t>
  </si>
  <si>
    <t>Manganese</t>
  </si>
  <si>
    <t>Adobe Brick</t>
  </si>
  <si>
    <t>Aluminium</t>
  </si>
  <si>
    <t>Asphalt</t>
  </si>
  <si>
    <t>Basalt</t>
  </si>
  <si>
    <t>Unimproved</t>
  </si>
  <si>
    <t>10</t>
  </si>
  <si>
    <t>103</t>
  </si>
  <si>
    <t>104</t>
  </si>
  <si>
    <t>105</t>
  </si>
  <si>
    <t>106</t>
  </si>
  <si>
    <t>107</t>
  </si>
  <si>
    <t>108</t>
  </si>
  <si>
    <t>11</t>
  </si>
  <si>
    <t>111</t>
  </si>
  <si>
    <t>115</t>
  </si>
  <si>
    <t>117</t>
  </si>
  <si>
    <t>119</t>
  </si>
  <si>
    <t>12</t>
  </si>
  <si>
    <t>120</t>
  </si>
  <si>
    <t>13</t>
  </si>
  <si>
    <t>131</t>
  </si>
  <si>
    <t>14</t>
  </si>
  <si>
    <t>15</t>
  </si>
  <si>
    <t>150</t>
  </si>
  <si>
    <t>152</t>
  </si>
  <si>
    <t>16</t>
  </si>
  <si>
    <t>160</t>
  </si>
  <si>
    <t>17</t>
  </si>
  <si>
    <t>18</t>
  </si>
  <si>
    <t>19</t>
  </si>
  <si>
    <t>Bituminous Mix</t>
  </si>
  <si>
    <t>Boulders</t>
  </si>
  <si>
    <t>Stabilized Earth</t>
  </si>
  <si>
    <t>20</t>
  </si>
  <si>
    <t>21</t>
  </si>
  <si>
    <t>22</t>
  </si>
  <si>
    <t>23</t>
  </si>
  <si>
    <t>24</t>
  </si>
  <si>
    <t>25</t>
  </si>
  <si>
    <t>28</t>
  </si>
  <si>
    <t>Brick</t>
  </si>
  <si>
    <t>Clay</t>
  </si>
  <si>
    <t>Concrete</t>
  </si>
  <si>
    <t>Flexible Pavement</t>
  </si>
  <si>
    <t>36</t>
  </si>
  <si>
    <t>37</t>
  </si>
  <si>
    <t>Aggregate</t>
  </si>
  <si>
    <t>Conglomerate</t>
  </si>
  <si>
    <t>Masonry</t>
  </si>
  <si>
    <t>45</t>
  </si>
  <si>
    <t>46</t>
  </si>
  <si>
    <t>49</t>
  </si>
  <si>
    <t>Dolomite</t>
  </si>
  <si>
    <t>Evaporite</t>
  </si>
  <si>
    <t>Fibreglass</t>
  </si>
  <si>
    <t>Macadam</t>
  </si>
  <si>
    <t>Metal</t>
  </si>
  <si>
    <t>51</t>
  </si>
  <si>
    <t>52</t>
  </si>
  <si>
    <t>54</t>
  </si>
  <si>
    <t>55</t>
  </si>
  <si>
    <t>58</t>
  </si>
  <si>
    <t>59</t>
  </si>
  <si>
    <t>Bound Surface</t>
  </si>
  <si>
    <t>Coral</t>
  </si>
  <si>
    <t>Frozen Water</t>
  </si>
  <si>
    <t>Glass</t>
  </si>
  <si>
    <t>Granite</t>
  </si>
  <si>
    <t>61</t>
  </si>
  <si>
    <t>62</t>
  </si>
  <si>
    <t>63</t>
  </si>
  <si>
    <t>64</t>
  </si>
  <si>
    <t>65</t>
  </si>
  <si>
    <t>66</t>
  </si>
  <si>
    <t>69</t>
  </si>
  <si>
    <t>Earthen</t>
  </si>
  <si>
    <t>Iron</t>
  </si>
  <si>
    <t>Paved</t>
  </si>
  <si>
    <t>Rigid Pavement</t>
  </si>
  <si>
    <t>Wood</t>
  </si>
  <si>
    <t>70</t>
  </si>
  <si>
    <t>73</t>
  </si>
  <si>
    <t>74</t>
  </si>
  <si>
    <t>75</t>
  </si>
  <si>
    <t>77</t>
  </si>
  <si>
    <t>79</t>
  </si>
  <si>
    <t>Igneous Rock</t>
  </si>
  <si>
    <t>Lava Flow</t>
  </si>
  <si>
    <t>Marshy</t>
  </si>
  <si>
    <t>Steel</t>
  </si>
  <si>
    <t>80</t>
  </si>
  <si>
    <t>81</t>
  </si>
  <si>
    <t>83</t>
  </si>
  <si>
    <t>84</t>
  </si>
  <si>
    <t>86</t>
  </si>
  <si>
    <t>88</t>
  </si>
  <si>
    <t>Karst</t>
  </si>
  <si>
    <t>Loess</t>
  </si>
  <si>
    <t>90</t>
  </si>
  <si>
    <t>92</t>
  </si>
  <si>
    <t>96</t>
  </si>
  <si>
    <t>98</t>
  </si>
  <si>
    <t>99</t>
  </si>
  <si>
    <t>999</t>
  </si>
  <si>
    <t>-999999</t>
  </si>
  <si>
    <t>Calcareous</t>
  </si>
  <si>
    <t>Limestone</t>
  </si>
  <si>
    <t>Mud</t>
  </si>
  <si>
    <t>Stony</t>
  </si>
  <si>
    <t>Cobble-stone</t>
  </si>
  <si>
    <t>Laterite</t>
  </si>
  <si>
    <t>Marl</t>
  </si>
  <si>
    <t>Chalk</t>
  </si>
  <si>
    <t>Rocks</t>
  </si>
  <si>
    <t>Membrane</t>
  </si>
  <si>
    <t>Sandy</t>
  </si>
  <si>
    <t>Cinders</t>
  </si>
  <si>
    <t>Shingly</t>
  </si>
  <si>
    <t>Sod</t>
  </si>
  <si>
    <t>Cirripedia</t>
  </si>
  <si>
    <t>Corduroy</t>
  </si>
  <si>
    <t>Schist</t>
  </si>
  <si>
    <t>Unconsolidated</t>
  </si>
  <si>
    <t>Snow</t>
  </si>
  <si>
    <t>Cobbles</t>
  </si>
  <si>
    <t>Sandstone</t>
  </si>
  <si>
    <t>Shale</t>
  </si>
  <si>
    <t>Copper</t>
  </si>
  <si>
    <t>Foraminifera</t>
  </si>
  <si>
    <t>Fucus</t>
  </si>
  <si>
    <t>Lava</t>
  </si>
  <si>
    <t>Lead</t>
  </si>
  <si>
    <t>Matte</t>
  </si>
  <si>
    <t>Mussels</t>
  </si>
  <si>
    <t>Ooze</t>
  </si>
  <si>
    <t>Oysters</t>
  </si>
  <si>
    <t>Pebbles</t>
  </si>
  <si>
    <t>Plastic</t>
  </si>
  <si>
    <t>Pumice</t>
  </si>
  <si>
    <t>Quartz</t>
  </si>
  <si>
    <t>Radiolaria</t>
  </si>
  <si>
    <t>Rubble</t>
  </si>
  <si>
    <t>Scoria</t>
  </si>
  <si>
    <t>Shell</t>
  </si>
  <si>
    <t>Shingle</t>
  </si>
  <si>
    <t>Silt</t>
  </si>
  <si>
    <t>Spicules</t>
  </si>
  <si>
    <t>Sponge</t>
  </si>
  <si>
    <t>Tufa</t>
  </si>
  <si>
    <t>Ceramic</t>
  </si>
  <si>
    <t>Volcanic Ash</t>
  </si>
  <si>
    <t>Glass Reinforced Plastic (GRP)</t>
  </si>
  <si>
    <t>Treated Timber</t>
  </si>
  <si>
    <t>1</t>
  </si>
  <si>
    <t>Asphalt over Concrete</t>
  </si>
  <si>
    <t>Landing Mat</t>
  </si>
  <si>
    <t>Mud-based Construction</t>
  </si>
  <si>
    <t>Building Rubble</t>
  </si>
  <si>
    <t>Plant Material</t>
  </si>
  <si>
    <t>Erosion Rubble</t>
  </si>
  <si>
    <t>Metamorphic Rock</t>
  </si>
  <si>
    <t>Prestressed Concrete</t>
  </si>
  <si>
    <t>Reinforced Concrete</t>
  </si>
  <si>
    <t>Non-bituminous Mix</t>
  </si>
  <si>
    <t>Pierced Steel Planking</t>
  </si>
  <si>
    <t>Wood Plank</t>
  </si>
  <si>
    <t>Semi-consolidated and Consolidated Volcanic Ash</t>
  </si>
  <si>
    <t>Volcanic Rock</t>
  </si>
  <si>
    <t>2</t>
  </si>
  <si>
    <t>Asphalt Over Concrete</t>
  </si>
  <si>
    <t>Coral Head</t>
  </si>
  <si>
    <t>Diatomaceous Earth</t>
  </si>
  <si>
    <t>3</t>
  </si>
  <si>
    <t>4</t>
  </si>
  <si>
    <t>Ground Shell</t>
  </si>
  <si>
    <t>5</t>
  </si>
  <si>
    <t>M epore</t>
  </si>
  <si>
    <t>6</t>
  </si>
  <si>
    <t>7</t>
  </si>
  <si>
    <t>Sea Moss</t>
  </si>
  <si>
    <t>8</t>
  </si>
  <si>
    <t>9</t>
  </si>
  <si>
    <t>CMIX Map Table Value</t>
  </si>
  <si>
    <t>GGDM Enumeration</t>
  </si>
  <si>
    <t>Unknown</t>
  </si>
  <si>
    <t>Continental</t>
  </si>
  <si>
    <t>International</t>
  </si>
  <si>
    <t>Interstate</t>
  </si>
  <si>
    <t>Inter-provincial</t>
  </si>
  <si>
    <t>Territorial</t>
  </si>
  <si>
    <t>Economic</t>
  </si>
  <si>
    <t>Regional</t>
  </si>
  <si>
    <t>Communal</t>
  </si>
  <si>
    <t>Tourist</t>
  </si>
  <si>
    <t>Private Zone</t>
  </si>
  <si>
    <t>Military District</t>
  </si>
  <si>
    <t>Disputed</t>
  </si>
  <si>
    <t>Populated Place</t>
  </si>
  <si>
    <t>Time Zone Delimiter</t>
  </si>
  <si>
    <t>International Date Line</t>
  </si>
  <si>
    <t>Unpopulated</t>
  </si>
  <si>
    <t>Not Appliccable</t>
  </si>
  <si>
    <t>optional</t>
  </si>
  <si>
    <t>FA003_BAL</t>
  </si>
  <si>
    <t>DSP</t>
  </si>
  <si>
    <t>In Dispute</t>
  </si>
  <si>
    <t>BST</t>
  </si>
  <si>
    <t>First-order</t>
  </si>
  <si>
    <t>Second-order</t>
  </si>
  <si>
    <t>Third-order</t>
  </si>
  <si>
    <t>Fourth-order</t>
  </si>
  <si>
    <t>CAA</t>
  </si>
  <si>
    <t>Military</t>
  </si>
  <si>
    <t>Private</t>
  </si>
  <si>
    <t>Public</t>
  </si>
  <si>
    <t>MGL</t>
  </si>
  <si>
    <t>International Boundary</t>
  </si>
  <si>
    <t>Exclusive Economic Zone Limit</t>
  </si>
  <si>
    <t>MGL 1-3</t>
  </si>
  <si>
    <t>GEC</t>
  </si>
  <si>
    <t>Economic Region</t>
  </si>
  <si>
    <t>16 Territory</t>
  </si>
  <si>
    <t>if exists?</t>
  </si>
  <si>
    <t>see GGDMEnumerations_CMIX trimmed tab and CMIX spreadsheet</t>
  </si>
  <si>
    <t>Name</t>
  </si>
  <si>
    <t>Enumerant Name</t>
  </si>
  <si>
    <t>Model</t>
  </si>
  <si>
    <t>Model and network</t>
  </si>
  <si>
    <t>PWA</t>
  </si>
  <si>
    <t>PWA (real)</t>
  </si>
  <si>
    <t>PWAC (interval) - what are the intervals?</t>
  </si>
  <si>
    <t>mapped</t>
  </si>
  <si>
    <t>no map</t>
  </si>
  <si>
    <t>GGDM has high and low values.</t>
  </si>
  <si>
    <t>See BOTY Tab</t>
  </si>
  <si>
    <t>BC040_PER</t>
  </si>
  <si>
    <t>PER</t>
  </si>
  <si>
    <t>CHA?</t>
  </si>
  <si>
    <t>bin</t>
  </si>
  <si>
    <t>AHA - see AHA tab</t>
  </si>
  <si>
    <t>AHA Range</t>
  </si>
  <si>
    <t>code</t>
  </si>
  <si>
    <t>&lt;=10m</t>
  </si>
  <si>
    <t>&lt;=100m</t>
  </si>
  <si>
    <t>&lt;=250m</t>
  </si>
  <si>
    <t>&lt;=500m</t>
  </si>
  <si>
    <t>&lt;=1200m</t>
  </si>
  <si>
    <t>&gt;1200m</t>
  </si>
  <si>
    <t>PCF - can't extrapolate</t>
  </si>
  <si>
    <t>EC005 - definition and geometry mistmatch</t>
  </si>
  <si>
    <t>AQ130 maps to VC016</t>
  </si>
  <si>
    <t>AP041 maps to VX003</t>
  </si>
  <si>
    <t>TRF Table Mapping</t>
  </si>
  <si>
    <t>GGDM Value</t>
  </si>
  <si>
    <t>CDB Value</t>
  </si>
  <si>
    <t>GGDM BOT Mappings</t>
  </si>
  <si>
    <t>BOT value</t>
  </si>
  <si>
    <t>CDB output layer</t>
  </si>
  <si>
    <t>GGDM BSC mapping</t>
  </si>
  <si>
    <t>BSC value</t>
  </si>
  <si>
    <t>GGDM Route Type Mapping for Roads</t>
  </si>
  <si>
    <t>RTY value</t>
  </si>
  <si>
    <t>LTN value</t>
  </si>
  <si>
    <t>CDB output later</t>
  </si>
  <si>
    <t xml:space="preserve">FCO value includes </t>
  </si>
  <si>
    <t>&lt;6</t>
  </si>
  <si>
    <t>&gt;4</t>
  </si>
  <si>
    <t>&lt;4</t>
  </si>
  <si>
    <t>=4</t>
  </si>
  <si>
    <t>&gt;6</t>
  </si>
  <si>
    <t>=6</t>
  </si>
  <si>
    <t xml:space="preserve"> </t>
  </si>
  <si>
    <t>Direct Mappings</t>
  </si>
  <si>
    <t>CDB Attribute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</si>
</sst>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sz val="10"/>
      <name val="Arial"/>
      <family val="2"/>
    </font>
    <font>
      <u/>
      <sz val="10"/>
      <color indexed="12"/>
      <name val="Arial"/>
      <family val="2"/>
    </font>
    <font>
      <b/>
      <sz val="11"/>
      <color theme="1"/>
      <name val="Arial"/>
      <family val="2"/>
    </font>
    <font>
      <sz val="11"/>
      <name val="Calibri"/>
      <family val="2"/>
      <scheme val="minor"/>
    </font>
    <font>
      <b/>
      <sz val="11"/>
      <color rgb="FFFFFFFF"/>
      <name val="Arial"/>
      <family val="2"/>
    </font>
    <font>
      <sz val="9"/>
      <color rgb="FF000000"/>
      <name val="Arial"/>
      <family val="2"/>
    </font>
    <font>
      <sz val="9"/>
      <color rgb="FFFF0000"/>
      <name val="Arial"/>
      <family val="2"/>
    </font>
    <font>
      <b/>
      <sz val="9"/>
      <color rgb="FF000000"/>
      <name val="Arial"/>
      <family val="2"/>
    </font>
  </fonts>
  <fills count="15">
    <fill>
      <patternFill patternType="none"/>
    </fill>
    <fill>
      <patternFill patternType="gray125"/>
    </fill>
    <fill>
      <patternFill patternType="solid">
        <fgColor theme="4" tint="0.59999389629810485"/>
        <bgColor indexed="64"/>
      </patternFill>
    </fill>
    <fill>
      <patternFill patternType="solid">
        <fgColor theme="6" tint="0.39997558519241921"/>
        <bgColor indexed="64"/>
      </patternFill>
    </fill>
    <fill>
      <patternFill patternType="solid">
        <fgColor indexed="34"/>
        <bgColor indexed="64"/>
      </patternFill>
    </fill>
    <fill>
      <patternFill patternType="solid">
        <fgColor rgb="FF00B0F0"/>
        <bgColor indexed="64"/>
      </patternFill>
    </fill>
    <fill>
      <patternFill patternType="solid">
        <fgColor rgb="FF92D050"/>
        <bgColor indexed="64"/>
      </patternFill>
    </fill>
    <fill>
      <patternFill patternType="solid">
        <fgColor rgb="FFFFFFFF"/>
        <bgColor indexed="64"/>
      </patternFill>
    </fill>
    <fill>
      <patternFill patternType="solid">
        <fgColor rgb="FF2F5597"/>
        <bgColor indexed="64"/>
      </patternFill>
    </fill>
    <fill>
      <patternFill patternType="solid">
        <fgColor rgb="FF8FAADC"/>
        <bgColor indexed="64"/>
      </patternFill>
    </fill>
    <fill>
      <patternFill patternType="solid">
        <fgColor rgb="FF9DC3E6"/>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C0C0C0"/>
      </right>
      <top style="medium">
        <color rgb="FFC0C0C0"/>
      </top>
      <bottom style="medium">
        <color rgb="FF000000"/>
      </bottom>
      <diagonal/>
    </border>
    <border>
      <left style="medium">
        <color rgb="FFC0C0C0"/>
      </left>
      <right style="medium">
        <color rgb="FFC0C0C0"/>
      </right>
      <top style="medium">
        <color rgb="FF000000"/>
      </top>
      <bottom style="medium">
        <color rgb="FFC0C0C0"/>
      </bottom>
      <diagonal/>
    </border>
    <border>
      <left style="medium">
        <color rgb="FF000000"/>
      </left>
      <right style="medium">
        <color rgb="FF000000"/>
      </right>
      <top style="medium">
        <color rgb="FFC0C0C0"/>
      </top>
      <bottom style="medium">
        <color rgb="FFC0C0C0"/>
      </bottom>
      <diagonal/>
    </border>
  </borders>
  <cellStyleXfs count="3">
    <xf numFmtId="0" fontId="0" fillId="0" borderId="0"/>
    <xf numFmtId="0" fontId="2" fillId="0" borderId="0"/>
    <xf numFmtId="0" fontId="3" fillId="0" borderId="0" applyNumberFormat="0" applyFill="0" applyBorder="0" applyAlignment="0" applyProtection="0">
      <alignment vertical="top"/>
      <protection locked="0"/>
    </xf>
  </cellStyleXfs>
  <cellXfs count="59">
    <xf numFmtId="0" fontId="0" fillId="0" borderId="0" xfId="0"/>
    <xf numFmtId="0" fontId="0" fillId="2" borderId="1" xfId="0" applyFill="1" applyBorder="1"/>
    <xf numFmtId="0" fontId="0" fillId="2" borderId="2" xfId="0" applyFill="1" applyBorder="1"/>
    <xf numFmtId="0" fontId="0" fillId="3" borderId="1" xfId="0" applyFill="1" applyBorder="1" applyProtection="1">
      <protection locked="0"/>
    </xf>
    <xf numFmtId="0" fontId="0" fillId="0" borderId="1" xfId="0" applyBorder="1"/>
    <xf numFmtId="0" fontId="0" fillId="3" borderId="1" xfId="0" applyFill="1" applyBorder="1" applyAlignment="1" applyProtection="1">
      <alignment horizontal="left"/>
      <protection locked="0"/>
    </xf>
    <xf numFmtId="0" fontId="0" fillId="0" borderId="1" xfId="0" applyBorder="1" applyAlignment="1">
      <alignment horizontal="left" indent="2"/>
    </xf>
    <xf numFmtId="0" fontId="3" fillId="0" borderId="0" xfId="2" applyAlignment="1" applyProtection="1"/>
    <xf numFmtId="0" fontId="3" fillId="4" borderId="0" xfId="2" applyFill="1" applyAlignment="1" applyProtection="1"/>
    <xf numFmtId="0" fontId="0" fillId="4" borderId="0" xfId="0" applyFill="1"/>
    <xf numFmtId="0" fontId="0" fillId="5" borderId="0" xfId="0" applyFill="1"/>
    <xf numFmtId="0" fontId="1" fillId="0" borderId="0" xfId="0" applyFont="1"/>
    <xf numFmtId="0" fontId="0" fillId="0" borderId="0" xfId="0" applyFont="1"/>
    <xf numFmtId="0" fontId="0" fillId="0" borderId="0" xfId="0" applyFill="1"/>
    <xf numFmtId="0" fontId="3" fillId="0" borderId="0" xfId="2" applyFill="1" applyAlignment="1" applyProtection="1"/>
    <xf numFmtId="0" fontId="0" fillId="0" borderId="0" xfId="0" applyFill="1" applyBorder="1" applyProtection="1">
      <protection locked="0"/>
    </xf>
    <xf numFmtId="0" fontId="0" fillId="0" borderId="0" xfId="0" applyFill="1" applyBorder="1" applyAlignment="1" applyProtection="1">
      <alignment horizontal="left"/>
      <protection locked="0"/>
    </xf>
    <xf numFmtId="0" fontId="1" fillId="0" borderId="0" xfId="0" applyFont="1" applyFill="1" applyBorder="1" applyProtection="1">
      <protection locked="0"/>
    </xf>
    <xf numFmtId="0" fontId="0" fillId="5" borderId="1" xfId="0" applyFill="1" applyBorder="1" applyProtection="1">
      <protection locked="0"/>
    </xf>
    <xf numFmtId="0" fontId="0" fillId="5" borderId="1" xfId="0" applyFill="1" applyBorder="1" applyAlignment="1" applyProtection="1">
      <alignment horizontal="left"/>
      <protection locked="0"/>
    </xf>
    <xf numFmtId="0" fontId="0" fillId="6" borderId="0" xfId="0" applyFill="1"/>
    <xf numFmtId="0" fontId="4" fillId="0" borderId="0" xfId="0" applyFont="1"/>
    <xf numFmtId="0" fontId="4" fillId="5" borderId="3" xfId="1" applyFont="1" applyFill="1" applyBorder="1" applyAlignment="1">
      <alignment horizontal="center" wrapText="1"/>
    </xf>
    <xf numFmtId="0" fontId="4" fillId="5" borderId="3" xfId="1" applyFont="1" applyFill="1" applyBorder="1" applyAlignment="1">
      <alignment wrapText="1"/>
    </xf>
    <xf numFmtId="0" fontId="4" fillId="6" borderId="4" xfId="0" applyFont="1" applyFill="1" applyBorder="1"/>
    <xf numFmtId="0" fontId="4" fillId="6" borderId="0" xfId="0" applyFont="1" applyFill="1"/>
    <xf numFmtId="0" fontId="0" fillId="0" borderId="1" xfId="0" applyFill="1" applyBorder="1"/>
    <xf numFmtId="0" fontId="0" fillId="0" borderId="2" xfId="0" applyFill="1" applyBorder="1"/>
    <xf numFmtId="0" fontId="0" fillId="0" borderId="1" xfId="0" applyFill="1" applyBorder="1" applyProtection="1">
      <protection locked="0"/>
    </xf>
    <xf numFmtId="0" fontId="5" fillId="0" borderId="0" xfId="0" applyFont="1"/>
    <xf numFmtId="0" fontId="6" fillId="8" borderId="5" xfId="0" applyFont="1" applyFill="1" applyBorder="1" applyAlignment="1">
      <alignment horizontal="justify" vertical="top" wrapText="1"/>
    </xf>
    <xf numFmtId="0" fontId="6" fillId="10" borderId="6" xfId="0" applyFont="1" applyFill="1" applyBorder="1" applyAlignment="1">
      <alignment horizontal="justify" vertical="top" wrapText="1"/>
    </xf>
    <xf numFmtId="0" fontId="6" fillId="10" borderId="5" xfId="0" applyFont="1" applyFill="1" applyBorder="1" applyAlignment="1">
      <alignment horizontal="left" vertical="top" wrapText="1"/>
    </xf>
    <xf numFmtId="0" fontId="6" fillId="10" borderId="5" xfId="0" applyFont="1" applyFill="1" applyBorder="1" applyAlignment="1">
      <alignment horizontal="justify" vertical="top" wrapText="1"/>
    </xf>
    <xf numFmtId="0" fontId="7" fillId="7" borderId="7" xfId="0" applyFont="1" applyFill="1" applyBorder="1" applyAlignment="1">
      <alignment horizontal="justify" vertical="center" wrapText="1"/>
    </xf>
    <xf numFmtId="0" fontId="7" fillId="7" borderId="5" xfId="0" applyFont="1" applyFill="1" applyBorder="1" applyAlignment="1">
      <alignment horizontal="justify" vertical="top" wrapText="1"/>
    </xf>
    <xf numFmtId="0" fontId="7" fillId="7" borderId="5" xfId="0" applyFont="1" applyFill="1" applyBorder="1" applyAlignment="1">
      <alignment horizontal="left" vertical="top" wrapText="1"/>
    </xf>
    <xf numFmtId="0" fontId="7" fillId="7" borderId="5" xfId="0" applyFont="1" applyFill="1" applyBorder="1" applyAlignment="1">
      <alignment horizontal="justify" vertical="center" wrapText="1"/>
    </xf>
    <xf numFmtId="0" fontId="8" fillId="7" borderId="5" xfId="0" applyFont="1" applyFill="1" applyBorder="1" applyAlignment="1">
      <alignment horizontal="justify" vertical="top" wrapText="1"/>
    </xf>
    <xf numFmtId="0" fontId="7" fillId="7" borderId="6" xfId="0" applyFont="1" applyFill="1" applyBorder="1" applyAlignment="1">
      <alignment horizontal="justify" vertical="center" wrapText="1"/>
    </xf>
    <xf numFmtId="0" fontId="6" fillId="9" borderId="8" xfId="0" applyFont="1" applyFill="1" applyBorder="1" applyAlignment="1">
      <alignment horizontal="left" vertical="top" wrapText="1"/>
    </xf>
    <xf numFmtId="0" fontId="6" fillId="9" borderId="8" xfId="0" applyFont="1" applyFill="1" applyBorder="1" applyAlignment="1">
      <alignment horizontal="justify" vertical="top" wrapText="1"/>
    </xf>
    <xf numFmtId="0" fontId="6" fillId="8" borderId="5" xfId="0" applyFont="1" applyFill="1" applyBorder="1" applyAlignment="1">
      <alignment horizontal="justify" vertical="top"/>
    </xf>
    <xf numFmtId="0" fontId="7" fillId="7" borderId="7" xfId="0" applyFont="1" applyFill="1" applyBorder="1" applyAlignment="1">
      <alignment horizontal="justify" vertical="center"/>
    </xf>
    <xf numFmtId="0" fontId="7" fillId="7" borderId="5" xfId="0" applyFont="1" applyFill="1" applyBorder="1" applyAlignment="1">
      <alignment horizontal="justify" vertical="center"/>
    </xf>
    <xf numFmtId="0" fontId="9" fillId="7" borderId="5" xfId="0" applyFont="1" applyFill="1" applyBorder="1" applyAlignment="1">
      <alignment horizontal="justify" vertical="center"/>
    </xf>
    <xf numFmtId="0" fontId="0" fillId="0" borderId="0" xfId="0" applyAlignment="1"/>
    <xf numFmtId="0" fontId="0" fillId="0" borderId="2" xfId="0" applyBorder="1"/>
    <xf numFmtId="0" fontId="0" fillId="11" borderId="0" xfId="0" applyFill="1"/>
    <xf numFmtId="0" fontId="3" fillId="11" borderId="0" xfId="2" applyFill="1" applyAlignment="1" applyProtection="1"/>
    <xf numFmtId="0" fontId="0" fillId="12" borderId="0" xfId="0" applyFill="1"/>
    <xf numFmtId="0" fontId="3" fillId="12" borderId="0" xfId="2" applyFill="1" applyAlignment="1" applyProtection="1"/>
    <xf numFmtId="0" fontId="0" fillId="13" borderId="0" xfId="0" applyFill="1"/>
    <xf numFmtId="0" fontId="3" fillId="13" borderId="0" xfId="2" applyFill="1" applyAlignment="1" applyProtection="1"/>
    <xf numFmtId="0" fontId="0" fillId="0" borderId="1" xfId="0" applyFill="1" applyBorder="1" applyAlignment="1" applyProtection="1">
      <alignment horizontal="left"/>
      <protection locked="0"/>
    </xf>
    <xf numFmtId="0" fontId="0" fillId="14" borderId="0" xfId="0" applyFill="1"/>
    <xf numFmtId="0" fontId="3" fillId="14" borderId="0" xfId="2" applyFill="1" applyAlignment="1" applyProtection="1"/>
    <xf numFmtId="0" fontId="0" fillId="0" borderId="0" xfId="0" applyFont="1" applyFill="1" applyBorder="1" applyProtection="1">
      <protection locked="0"/>
    </xf>
    <xf numFmtId="0" fontId="0" fillId="0" borderId="0" xfId="0" quotePrefix="1"/>
  </cellXfs>
  <cellStyles count="3">
    <cellStyle name="Hyperlink" xfId="2" builtinId="8"/>
    <cellStyle name="Normal" xfId="0" builtinId="0"/>
    <cellStyle name="Normal 2 2" xfId="1" xr:uid="{074A2CCF-AE9C-4E4A-B871-F972859B0EBD}"/>
  </cellStyles>
  <dxfs count="0"/>
  <tableStyles count="0" defaultTableStyle="TableStyleMedium2" defaultPivotStyle="PivotStyleLight16"/>
  <colors>
    <mruColors>
      <color rgb="FF9966FF"/>
      <color rgb="FFFF99FF"/>
      <color rgb="FFFF7C80"/>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8676E-3C67-4834-9849-5F46A2A142FE}">
  <dimension ref="A1:D737"/>
  <sheetViews>
    <sheetView topLeftCell="A684" workbookViewId="0">
      <selection activeCell="D699" sqref="D699"/>
    </sheetView>
  </sheetViews>
  <sheetFormatPr defaultRowHeight="14.4" x14ac:dyDescent="0.55000000000000004"/>
  <cols>
    <col min="1" max="1" width="22" customWidth="1"/>
    <col min="2" max="2" width="16.68359375" bestFit="1" customWidth="1"/>
    <col min="3" max="3" width="24.5234375" customWidth="1"/>
  </cols>
  <sheetData>
    <row r="1" spans="1:4" x14ac:dyDescent="0.55000000000000004">
      <c r="A1" t="s">
        <v>7971</v>
      </c>
      <c r="B1" t="s">
        <v>8172</v>
      </c>
      <c r="C1" t="s">
        <v>7972</v>
      </c>
      <c r="D1" t="s">
        <v>8171</v>
      </c>
    </row>
    <row r="2" spans="1:4" x14ac:dyDescent="0.55000000000000004">
      <c r="A2" t="s">
        <v>7948</v>
      </c>
      <c r="B2" t="s">
        <v>8142</v>
      </c>
      <c r="C2" t="s">
        <v>7989</v>
      </c>
      <c r="D2">
        <v>1</v>
      </c>
    </row>
    <row r="3" spans="1:4" x14ac:dyDescent="0.55000000000000004">
      <c r="A3" t="s">
        <v>7949</v>
      </c>
      <c r="B3" t="s">
        <v>8142</v>
      </c>
      <c r="C3" t="s">
        <v>7989</v>
      </c>
      <c r="D3">
        <v>1</v>
      </c>
    </row>
    <row r="4" spans="1:4" x14ac:dyDescent="0.55000000000000004">
      <c r="A4" t="s">
        <v>7950</v>
      </c>
      <c r="B4" t="s">
        <v>8142</v>
      </c>
      <c r="C4" t="s">
        <v>7989</v>
      </c>
      <c r="D4">
        <v>1</v>
      </c>
    </row>
    <row r="5" spans="1:4" x14ac:dyDescent="0.55000000000000004">
      <c r="A5" t="s">
        <v>7957</v>
      </c>
      <c r="B5" t="s">
        <v>8162</v>
      </c>
      <c r="C5" t="s">
        <v>8035</v>
      </c>
      <c r="D5">
        <v>2</v>
      </c>
    </row>
    <row r="6" spans="1:4" x14ac:dyDescent="0.55000000000000004">
      <c r="A6" t="s">
        <v>7943</v>
      </c>
      <c r="B6" t="s">
        <v>8157</v>
      </c>
      <c r="C6" t="s">
        <v>7990</v>
      </c>
      <c r="D6">
        <v>3</v>
      </c>
    </row>
    <row r="7" spans="1:4" x14ac:dyDescent="0.55000000000000004">
      <c r="A7" t="s">
        <v>7944</v>
      </c>
      <c r="B7" t="s">
        <v>8157</v>
      </c>
      <c r="C7" t="s">
        <v>7990</v>
      </c>
      <c r="D7">
        <v>3</v>
      </c>
    </row>
    <row r="8" spans="1:4" x14ac:dyDescent="0.55000000000000004">
      <c r="A8" t="s">
        <v>7945</v>
      </c>
      <c r="B8" t="s">
        <v>8157</v>
      </c>
      <c r="C8" t="s">
        <v>7990</v>
      </c>
      <c r="D8">
        <v>3</v>
      </c>
    </row>
    <row r="9" spans="1:4" x14ac:dyDescent="0.55000000000000004">
      <c r="A9" t="s">
        <v>7948</v>
      </c>
      <c r="B9" t="s">
        <v>8157</v>
      </c>
      <c r="C9" t="s">
        <v>7990</v>
      </c>
      <c r="D9">
        <v>3</v>
      </c>
    </row>
    <row r="10" spans="1:4" x14ac:dyDescent="0.55000000000000004">
      <c r="A10" t="s">
        <v>7949</v>
      </c>
      <c r="B10" t="s">
        <v>8157</v>
      </c>
      <c r="C10" t="s">
        <v>7990</v>
      </c>
      <c r="D10">
        <v>3</v>
      </c>
    </row>
    <row r="11" spans="1:4" x14ac:dyDescent="0.55000000000000004">
      <c r="A11" t="s">
        <v>7950</v>
      </c>
      <c r="B11" t="s">
        <v>8157</v>
      </c>
      <c r="C11" t="s">
        <v>7990</v>
      </c>
      <c r="D11">
        <v>3</v>
      </c>
    </row>
    <row r="12" spans="1:4" x14ac:dyDescent="0.55000000000000004">
      <c r="A12" t="s">
        <v>7984</v>
      </c>
      <c r="B12" t="s">
        <v>8142</v>
      </c>
      <c r="C12" t="s">
        <v>7990</v>
      </c>
      <c r="D12">
        <v>3</v>
      </c>
    </row>
    <row r="13" spans="1:4" x14ac:dyDescent="0.55000000000000004">
      <c r="A13" t="s">
        <v>7970</v>
      </c>
      <c r="B13" t="s">
        <v>8162</v>
      </c>
      <c r="C13" t="s">
        <v>3197</v>
      </c>
      <c r="D13">
        <v>4</v>
      </c>
    </row>
    <row r="14" spans="1:4" x14ac:dyDescent="0.55000000000000004">
      <c r="A14" t="s">
        <v>7985</v>
      </c>
      <c r="B14" t="s">
        <v>8142</v>
      </c>
      <c r="C14" t="s">
        <v>7991</v>
      </c>
      <c r="D14">
        <v>5</v>
      </c>
    </row>
    <row r="15" spans="1:4" x14ac:dyDescent="0.55000000000000004">
      <c r="A15" t="s">
        <v>7986</v>
      </c>
      <c r="B15" t="s">
        <v>8142</v>
      </c>
      <c r="C15" t="s">
        <v>7991</v>
      </c>
      <c r="D15">
        <v>5</v>
      </c>
    </row>
    <row r="16" spans="1:4" x14ac:dyDescent="0.55000000000000004">
      <c r="A16" t="s">
        <v>7987</v>
      </c>
      <c r="B16" t="s">
        <v>8142</v>
      </c>
      <c r="C16" t="s">
        <v>7991</v>
      </c>
      <c r="D16">
        <v>5</v>
      </c>
    </row>
    <row r="17" spans="1:4" x14ac:dyDescent="0.55000000000000004">
      <c r="A17" t="s">
        <v>7943</v>
      </c>
      <c r="B17" t="s">
        <v>8164</v>
      </c>
      <c r="C17" t="s">
        <v>7991</v>
      </c>
      <c r="D17">
        <v>5</v>
      </c>
    </row>
    <row r="18" spans="1:4" x14ac:dyDescent="0.55000000000000004">
      <c r="A18" t="s">
        <v>7944</v>
      </c>
      <c r="B18" t="s">
        <v>8164</v>
      </c>
      <c r="C18" t="s">
        <v>7991</v>
      </c>
      <c r="D18">
        <v>5</v>
      </c>
    </row>
    <row r="19" spans="1:4" x14ac:dyDescent="0.55000000000000004">
      <c r="A19" t="s">
        <v>7945</v>
      </c>
      <c r="B19" t="s">
        <v>8164</v>
      </c>
      <c r="C19" t="s">
        <v>7991</v>
      </c>
      <c r="D19">
        <v>5</v>
      </c>
    </row>
    <row r="20" spans="1:4" x14ac:dyDescent="0.55000000000000004">
      <c r="A20" t="s">
        <v>7961</v>
      </c>
      <c r="B20" t="s">
        <v>8142</v>
      </c>
      <c r="C20" t="s">
        <v>7991</v>
      </c>
      <c r="D20">
        <v>5</v>
      </c>
    </row>
    <row r="21" spans="1:4" x14ac:dyDescent="0.55000000000000004">
      <c r="A21" t="s">
        <v>7962</v>
      </c>
      <c r="B21" t="s">
        <v>8142</v>
      </c>
      <c r="C21" t="s">
        <v>7991</v>
      </c>
      <c r="D21">
        <v>5</v>
      </c>
    </row>
    <row r="22" spans="1:4" x14ac:dyDescent="0.55000000000000004">
      <c r="A22" t="s">
        <v>7963</v>
      </c>
      <c r="B22" t="s">
        <v>8142</v>
      </c>
      <c r="C22" t="s">
        <v>7991</v>
      </c>
      <c r="D22">
        <v>5</v>
      </c>
    </row>
    <row r="23" spans="1:4" x14ac:dyDescent="0.55000000000000004">
      <c r="A23" t="s">
        <v>7957</v>
      </c>
      <c r="B23" t="s">
        <v>8170</v>
      </c>
      <c r="C23" t="s">
        <v>7991</v>
      </c>
      <c r="D23">
        <v>5</v>
      </c>
    </row>
    <row r="24" spans="1:4" x14ac:dyDescent="0.55000000000000004">
      <c r="A24" t="s">
        <v>7958</v>
      </c>
      <c r="B24" t="s">
        <v>8142</v>
      </c>
      <c r="C24" t="s">
        <v>7991</v>
      </c>
      <c r="D24">
        <v>5</v>
      </c>
    </row>
    <row r="25" spans="1:4" x14ac:dyDescent="0.55000000000000004">
      <c r="A25" t="s">
        <v>7959</v>
      </c>
      <c r="B25" t="s">
        <v>8142</v>
      </c>
      <c r="C25" t="s">
        <v>7991</v>
      </c>
      <c r="D25">
        <v>5</v>
      </c>
    </row>
    <row r="26" spans="1:4" x14ac:dyDescent="0.55000000000000004">
      <c r="A26" t="s">
        <v>7960</v>
      </c>
      <c r="B26" t="s">
        <v>8142</v>
      </c>
      <c r="C26" t="s">
        <v>7991</v>
      </c>
      <c r="D26">
        <v>5</v>
      </c>
    </row>
    <row r="27" spans="1:4" x14ac:dyDescent="0.55000000000000004">
      <c r="A27" t="s">
        <v>7985</v>
      </c>
      <c r="B27" t="s">
        <v>8023</v>
      </c>
      <c r="C27" t="s">
        <v>8158</v>
      </c>
      <c r="D27">
        <v>6</v>
      </c>
    </row>
    <row r="28" spans="1:4" x14ac:dyDescent="0.55000000000000004">
      <c r="A28" t="s">
        <v>7986</v>
      </c>
      <c r="B28" t="s">
        <v>8023</v>
      </c>
      <c r="C28" t="s">
        <v>8158</v>
      </c>
      <c r="D28">
        <v>6</v>
      </c>
    </row>
    <row r="29" spans="1:4" x14ac:dyDescent="0.55000000000000004">
      <c r="A29" t="s">
        <v>7987</v>
      </c>
      <c r="B29" t="s">
        <v>8023</v>
      </c>
      <c r="C29" t="s">
        <v>8158</v>
      </c>
      <c r="D29">
        <v>6</v>
      </c>
    </row>
    <row r="30" spans="1:4" x14ac:dyDescent="0.55000000000000004">
      <c r="A30" t="s">
        <v>7957</v>
      </c>
      <c r="B30" t="s">
        <v>7994</v>
      </c>
      <c r="C30" t="s">
        <v>8143</v>
      </c>
      <c r="D30">
        <v>6</v>
      </c>
    </row>
    <row r="31" spans="1:4" x14ac:dyDescent="0.55000000000000004">
      <c r="A31" t="s">
        <v>7958</v>
      </c>
      <c r="B31" t="s">
        <v>8023</v>
      </c>
      <c r="C31" t="s">
        <v>8158</v>
      </c>
      <c r="D31">
        <v>6</v>
      </c>
    </row>
    <row r="32" spans="1:4" x14ac:dyDescent="0.55000000000000004">
      <c r="A32" t="s">
        <v>7959</v>
      </c>
      <c r="B32" t="s">
        <v>8023</v>
      </c>
      <c r="C32" t="s">
        <v>8158</v>
      </c>
      <c r="D32">
        <v>6</v>
      </c>
    </row>
    <row r="33" spans="1:4" x14ac:dyDescent="0.55000000000000004">
      <c r="A33" t="s">
        <v>7960</v>
      </c>
      <c r="B33" t="s">
        <v>8023</v>
      </c>
      <c r="C33" t="s">
        <v>8158</v>
      </c>
      <c r="D33">
        <v>6</v>
      </c>
    </row>
    <row r="34" spans="1:4" x14ac:dyDescent="0.55000000000000004">
      <c r="A34" t="s">
        <v>7967</v>
      </c>
      <c r="B34" t="s">
        <v>8142</v>
      </c>
      <c r="C34" t="s">
        <v>7992</v>
      </c>
      <c r="D34">
        <v>7</v>
      </c>
    </row>
    <row r="35" spans="1:4" x14ac:dyDescent="0.55000000000000004">
      <c r="A35" t="s">
        <v>7968</v>
      </c>
      <c r="B35" t="s">
        <v>8142</v>
      </c>
      <c r="C35" t="s">
        <v>7992</v>
      </c>
      <c r="D35">
        <v>7</v>
      </c>
    </row>
    <row r="36" spans="1:4" x14ac:dyDescent="0.55000000000000004">
      <c r="A36" t="s">
        <v>7969</v>
      </c>
      <c r="B36" t="s">
        <v>8142</v>
      </c>
      <c r="C36" t="s">
        <v>7992</v>
      </c>
      <c r="D36">
        <v>7</v>
      </c>
    </row>
    <row r="37" spans="1:4" x14ac:dyDescent="0.55000000000000004">
      <c r="A37" t="s">
        <v>7964</v>
      </c>
      <c r="B37" t="s">
        <v>8142</v>
      </c>
      <c r="C37" t="s">
        <v>7992</v>
      </c>
      <c r="D37">
        <v>7</v>
      </c>
    </row>
    <row r="38" spans="1:4" x14ac:dyDescent="0.55000000000000004">
      <c r="A38" t="s">
        <v>7965</v>
      </c>
      <c r="B38" t="s">
        <v>8142</v>
      </c>
      <c r="C38" t="s">
        <v>7992</v>
      </c>
      <c r="D38">
        <v>7</v>
      </c>
    </row>
    <row r="39" spans="1:4" x14ac:dyDescent="0.55000000000000004">
      <c r="A39" t="s">
        <v>7966</v>
      </c>
      <c r="B39" t="s">
        <v>8142</v>
      </c>
      <c r="C39" t="s">
        <v>7992</v>
      </c>
      <c r="D39">
        <v>7</v>
      </c>
    </row>
    <row r="40" spans="1:4" x14ac:dyDescent="0.55000000000000004">
      <c r="A40" t="s">
        <v>7951</v>
      </c>
      <c r="B40" t="s">
        <v>8166</v>
      </c>
      <c r="C40" t="s">
        <v>7980</v>
      </c>
      <c r="D40">
        <v>8</v>
      </c>
    </row>
    <row r="41" spans="1:4" x14ac:dyDescent="0.55000000000000004">
      <c r="A41" t="s">
        <v>7952</v>
      </c>
      <c r="B41" t="s">
        <v>8166</v>
      </c>
      <c r="C41" t="s">
        <v>7980</v>
      </c>
      <c r="D41">
        <v>8</v>
      </c>
    </row>
    <row r="42" spans="1:4" x14ac:dyDescent="0.55000000000000004">
      <c r="A42" t="s">
        <v>7953</v>
      </c>
      <c r="B42" t="s">
        <v>8166</v>
      </c>
      <c r="C42" t="s">
        <v>7980</v>
      </c>
      <c r="D42">
        <v>8</v>
      </c>
    </row>
    <row r="43" spans="1:4" x14ac:dyDescent="0.55000000000000004">
      <c r="A43" t="s">
        <v>7954</v>
      </c>
      <c r="B43" t="s">
        <v>8166</v>
      </c>
      <c r="C43" t="s">
        <v>7980</v>
      </c>
      <c r="D43">
        <v>8</v>
      </c>
    </row>
    <row r="44" spans="1:4" x14ac:dyDescent="0.55000000000000004">
      <c r="A44" t="s">
        <v>7955</v>
      </c>
      <c r="B44" t="s">
        <v>8166</v>
      </c>
      <c r="C44" t="s">
        <v>7980</v>
      </c>
      <c r="D44">
        <v>8</v>
      </c>
    </row>
    <row r="45" spans="1:4" x14ac:dyDescent="0.55000000000000004">
      <c r="A45" t="s">
        <v>7956</v>
      </c>
      <c r="B45" t="s">
        <v>8166</v>
      </c>
      <c r="C45" t="s">
        <v>7980</v>
      </c>
      <c r="D45">
        <v>8</v>
      </c>
    </row>
    <row r="46" spans="1:4" x14ac:dyDescent="0.55000000000000004">
      <c r="A46" t="s">
        <v>7942</v>
      </c>
      <c r="B46" t="s">
        <v>8166</v>
      </c>
      <c r="C46" t="s">
        <v>7980</v>
      </c>
      <c r="D46">
        <v>8</v>
      </c>
    </row>
    <row r="47" spans="1:4" x14ac:dyDescent="0.55000000000000004">
      <c r="A47" t="s">
        <v>7946</v>
      </c>
      <c r="B47" t="s">
        <v>8166</v>
      </c>
      <c r="C47" t="s">
        <v>7980</v>
      </c>
      <c r="D47">
        <v>8</v>
      </c>
    </row>
    <row r="48" spans="1:4" x14ac:dyDescent="0.55000000000000004">
      <c r="A48" t="s">
        <v>7947</v>
      </c>
      <c r="B48" t="s">
        <v>8166</v>
      </c>
      <c r="C48" t="s">
        <v>7980</v>
      </c>
      <c r="D48">
        <v>8</v>
      </c>
    </row>
    <row r="49" spans="1:4" x14ac:dyDescent="0.55000000000000004">
      <c r="A49" t="s">
        <v>7970</v>
      </c>
      <c r="B49" t="s">
        <v>8167</v>
      </c>
      <c r="C49" t="s">
        <v>7980</v>
      </c>
      <c r="D49">
        <v>8</v>
      </c>
    </row>
    <row r="50" spans="1:4" x14ac:dyDescent="0.55000000000000004">
      <c r="A50" t="s">
        <v>7943</v>
      </c>
      <c r="B50" t="s">
        <v>8167</v>
      </c>
      <c r="C50" t="s">
        <v>7980</v>
      </c>
      <c r="D50">
        <v>8</v>
      </c>
    </row>
    <row r="51" spans="1:4" x14ac:dyDescent="0.55000000000000004">
      <c r="A51" t="s">
        <v>7944</v>
      </c>
      <c r="B51" t="s">
        <v>8167</v>
      </c>
      <c r="C51" t="s">
        <v>7980</v>
      </c>
      <c r="D51">
        <v>8</v>
      </c>
    </row>
    <row r="52" spans="1:4" x14ac:dyDescent="0.55000000000000004">
      <c r="A52" t="s">
        <v>7945</v>
      </c>
      <c r="B52" t="s">
        <v>8167</v>
      </c>
      <c r="C52" t="s">
        <v>7980</v>
      </c>
      <c r="D52">
        <v>8</v>
      </c>
    </row>
    <row r="53" spans="1:4" x14ac:dyDescent="0.55000000000000004">
      <c r="A53" t="s">
        <v>7961</v>
      </c>
      <c r="B53" t="s">
        <v>8157</v>
      </c>
      <c r="C53" t="s">
        <v>7980</v>
      </c>
      <c r="D53">
        <v>8</v>
      </c>
    </row>
    <row r="54" spans="1:4" x14ac:dyDescent="0.55000000000000004">
      <c r="A54" t="s">
        <v>7962</v>
      </c>
      <c r="B54" t="s">
        <v>8157</v>
      </c>
      <c r="C54" t="s">
        <v>7980</v>
      </c>
      <c r="D54">
        <v>8</v>
      </c>
    </row>
    <row r="55" spans="1:4" x14ac:dyDescent="0.55000000000000004">
      <c r="A55" t="s">
        <v>7963</v>
      </c>
      <c r="B55" t="s">
        <v>8157</v>
      </c>
      <c r="C55" t="s">
        <v>7980</v>
      </c>
      <c r="D55">
        <v>8</v>
      </c>
    </row>
    <row r="56" spans="1:4" x14ac:dyDescent="0.55000000000000004">
      <c r="A56" t="s">
        <v>7985</v>
      </c>
      <c r="B56" t="s">
        <v>8157</v>
      </c>
      <c r="C56" t="s">
        <v>8019</v>
      </c>
      <c r="D56">
        <v>9</v>
      </c>
    </row>
    <row r="57" spans="1:4" x14ac:dyDescent="0.55000000000000004">
      <c r="A57" t="s">
        <v>7986</v>
      </c>
      <c r="B57" t="s">
        <v>8157</v>
      </c>
      <c r="C57" t="s">
        <v>8019</v>
      </c>
      <c r="D57">
        <v>9</v>
      </c>
    </row>
    <row r="58" spans="1:4" x14ac:dyDescent="0.55000000000000004">
      <c r="A58" t="s">
        <v>7987</v>
      </c>
      <c r="B58" t="s">
        <v>8157</v>
      </c>
      <c r="C58" t="s">
        <v>8019</v>
      </c>
      <c r="D58">
        <v>9</v>
      </c>
    </row>
    <row r="59" spans="1:4" x14ac:dyDescent="0.55000000000000004">
      <c r="A59" t="s">
        <v>7958</v>
      </c>
      <c r="B59" t="s">
        <v>8157</v>
      </c>
      <c r="C59" t="s">
        <v>8019</v>
      </c>
      <c r="D59">
        <v>9</v>
      </c>
    </row>
    <row r="60" spans="1:4" x14ac:dyDescent="0.55000000000000004">
      <c r="A60" t="s">
        <v>7959</v>
      </c>
      <c r="B60" t="s">
        <v>8157</v>
      </c>
      <c r="C60" t="s">
        <v>8019</v>
      </c>
      <c r="D60">
        <v>9</v>
      </c>
    </row>
    <row r="61" spans="1:4" x14ac:dyDescent="0.55000000000000004">
      <c r="A61" t="s">
        <v>7960</v>
      </c>
      <c r="B61" t="s">
        <v>8157</v>
      </c>
      <c r="C61" t="s">
        <v>8019</v>
      </c>
      <c r="D61">
        <v>9</v>
      </c>
    </row>
    <row r="62" spans="1:4" x14ac:dyDescent="0.55000000000000004">
      <c r="A62" t="s">
        <v>7970</v>
      </c>
      <c r="B62" t="s">
        <v>8169</v>
      </c>
      <c r="C62" t="s">
        <v>8020</v>
      </c>
      <c r="D62">
        <v>10</v>
      </c>
    </row>
    <row r="63" spans="1:4" x14ac:dyDescent="0.55000000000000004">
      <c r="A63" t="s">
        <v>7943</v>
      </c>
      <c r="B63" t="s">
        <v>8169</v>
      </c>
      <c r="C63" t="s">
        <v>8020</v>
      </c>
      <c r="D63">
        <v>10</v>
      </c>
    </row>
    <row r="64" spans="1:4" x14ac:dyDescent="0.55000000000000004">
      <c r="A64" t="s">
        <v>7944</v>
      </c>
      <c r="B64" t="s">
        <v>8169</v>
      </c>
      <c r="C64" t="s">
        <v>8020</v>
      </c>
      <c r="D64">
        <v>10</v>
      </c>
    </row>
    <row r="65" spans="1:4" x14ac:dyDescent="0.55000000000000004">
      <c r="A65" t="s">
        <v>7945</v>
      </c>
      <c r="B65" t="s">
        <v>8169</v>
      </c>
      <c r="C65" t="s">
        <v>8020</v>
      </c>
      <c r="D65">
        <v>10</v>
      </c>
    </row>
    <row r="66" spans="1:4" x14ac:dyDescent="0.55000000000000004">
      <c r="A66" t="s">
        <v>7961</v>
      </c>
      <c r="B66" t="s">
        <v>8161</v>
      </c>
      <c r="C66" t="s">
        <v>8020</v>
      </c>
      <c r="D66">
        <v>10</v>
      </c>
    </row>
    <row r="67" spans="1:4" x14ac:dyDescent="0.55000000000000004">
      <c r="A67" t="s">
        <v>7962</v>
      </c>
      <c r="B67" t="s">
        <v>8161</v>
      </c>
      <c r="C67" t="s">
        <v>8020</v>
      </c>
      <c r="D67">
        <v>10</v>
      </c>
    </row>
    <row r="68" spans="1:4" x14ac:dyDescent="0.55000000000000004">
      <c r="A68" t="s">
        <v>7963</v>
      </c>
      <c r="B68" t="s">
        <v>8161</v>
      </c>
      <c r="C68" t="s">
        <v>8020</v>
      </c>
      <c r="D68">
        <v>10</v>
      </c>
    </row>
    <row r="69" spans="1:4" x14ac:dyDescent="0.55000000000000004">
      <c r="A69" t="s">
        <v>7967</v>
      </c>
      <c r="B69" t="s">
        <v>8157</v>
      </c>
      <c r="C69" t="s">
        <v>8020</v>
      </c>
      <c r="D69">
        <v>10</v>
      </c>
    </row>
    <row r="70" spans="1:4" x14ac:dyDescent="0.55000000000000004">
      <c r="A70" t="s">
        <v>7968</v>
      </c>
      <c r="B70" t="s">
        <v>8157</v>
      </c>
      <c r="C70" t="s">
        <v>8020</v>
      </c>
      <c r="D70">
        <v>10</v>
      </c>
    </row>
    <row r="71" spans="1:4" x14ac:dyDescent="0.55000000000000004">
      <c r="A71" t="s">
        <v>7969</v>
      </c>
      <c r="B71" t="s">
        <v>8157</v>
      </c>
      <c r="C71" t="s">
        <v>8020</v>
      </c>
      <c r="D71">
        <v>10</v>
      </c>
    </row>
    <row r="72" spans="1:4" x14ac:dyDescent="0.55000000000000004">
      <c r="A72" t="s">
        <v>7964</v>
      </c>
      <c r="B72" t="s">
        <v>8157</v>
      </c>
      <c r="C72" t="s">
        <v>8020</v>
      </c>
      <c r="D72">
        <v>10</v>
      </c>
    </row>
    <row r="73" spans="1:4" x14ac:dyDescent="0.55000000000000004">
      <c r="A73" t="s">
        <v>7965</v>
      </c>
      <c r="B73" t="s">
        <v>8157</v>
      </c>
      <c r="C73" t="s">
        <v>8020</v>
      </c>
      <c r="D73">
        <v>10</v>
      </c>
    </row>
    <row r="74" spans="1:4" x14ac:dyDescent="0.55000000000000004">
      <c r="A74" t="s">
        <v>7966</v>
      </c>
      <c r="B74" t="s">
        <v>8157</v>
      </c>
      <c r="C74" t="s">
        <v>8020</v>
      </c>
      <c r="D74">
        <v>10</v>
      </c>
    </row>
    <row r="75" spans="1:4" x14ac:dyDescent="0.55000000000000004">
      <c r="A75" t="s">
        <v>7957</v>
      </c>
      <c r="B75" t="s">
        <v>8166</v>
      </c>
      <c r="C75" t="s">
        <v>8052</v>
      </c>
      <c r="D75">
        <v>11</v>
      </c>
    </row>
    <row r="76" spans="1:4" x14ac:dyDescent="0.55000000000000004">
      <c r="A76" t="s">
        <v>7985</v>
      </c>
      <c r="B76" t="s">
        <v>8161</v>
      </c>
      <c r="C76" t="s">
        <v>8029</v>
      </c>
      <c r="D76">
        <v>12</v>
      </c>
    </row>
    <row r="77" spans="1:4" x14ac:dyDescent="0.55000000000000004">
      <c r="A77" t="s">
        <v>7986</v>
      </c>
      <c r="B77" t="s">
        <v>8161</v>
      </c>
      <c r="C77" t="s">
        <v>8029</v>
      </c>
      <c r="D77">
        <v>12</v>
      </c>
    </row>
    <row r="78" spans="1:4" x14ac:dyDescent="0.55000000000000004">
      <c r="A78" t="s">
        <v>7987</v>
      </c>
      <c r="B78" t="s">
        <v>8161</v>
      </c>
      <c r="C78" t="s">
        <v>8029</v>
      </c>
      <c r="D78">
        <v>12</v>
      </c>
    </row>
    <row r="79" spans="1:4" x14ac:dyDescent="0.55000000000000004">
      <c r="A79" t="s">
        <v>7943</v>
      </c>
      <c r="B79" t="s">
        <v>8170</v>
      </c>
      <c r="C79" t="s">
        <v>8029</v>
      </c>
      <c r="D79">
        <v>12</v>
      </c>
    </row>
    <row r="80" spans="1:4" x14ac:dyDescent="0.55000000000000004">
      <c r="A80" t="s">
        <v>7944</v>
      </c>
      <c r="B80" t="s">
        <v>8170</v>
      </c>
      <c r="C80" t="s">
        <v>8029</v>
      </c>
      <c r="D80">
        <v>12</v>
      </c>
    </row>
    <row r="81" spans="1:4" x14ac:dyDescent="0.55000000000000004">
      <c r="A81" t="s">
        <v>7945</v>
      </c>
      <c r="B81" t="s">
        <v>8170</v>
      </c>
      <c r="C81" t="s">
        <v>8029</v>
      </c>
      <c r="D81">
        <v>12</v>
      </c>
    </row>
    <row r="82" spans="1:4" x14ac:dyDescent="0.55000000000000004">
      <c r="A82" t="s">
        <v>7948</v>
      </c>
      <c r="B82" t="s">
        <v>8161</v>
      </c>
      <c r="C82" t="s">
        <v>8029</v>
      </c>
      <c r="D82">
        <v>12</v>
      </c>
    </row>
    <row r="83" spans="1:4" x14ac:dyDescent="0.55000000000000004">
      <c r="A83" t="s">
        <v>7949</v>
      </c>
      <c r="B83" t="s">
        <v>8161</v>
      </c>
      <c r="C83" t="s">
        <v>8029</v>
      </c>
      <c r="D83">
        <v>12</v>
      </c>
    </row>
    <row r="84" spans="1:4" x14ac:dyDescent="0.55000000000000004">
      <c r="A84" t="s">
        <v>7950</v>
      </c>
      <c r="B84" t="s">
        <v>8161</v>
      </c>
      <c r="C84" t="s">
        <v>8029</v>
      </c>
      <c r="D84">
        <v>12</v>
      </c>
    </row>
    <row r="85" spans="1:4" x14ac:dyDescent="0.55000000000000004">
      <c r="A85" t="s">
        <v>7957</v>
      </c>
      <c r="B85" t="s">
        <v>8006</v>
      </c>
      <c r="C85" t="s">
        <v>8029</v>
      </c>
      <c r="D85">
        <v>12</v>
      </c>
    </row>
    <row r="86" spans="1:4" x14ac:dyDescent="0.55000000000000004">
      <c r="A86" t="s">
        <v>7958</v>
      </c>
      <c r="B86" t="s">
        <v>8161</v>
      </c>
      <c r="C86" t="s">
        <v>8029</v>
      </c>
      <c r="D86">
        <v>12</v>
      </c>
    </row>
    <row r="87" spans="1:4" x14ac:dyDescent="0.55000000000000004">
      <c r="A87" t="s">
        <v>7959</v>
      </c>
      <c r="B87" t="s">
        <v>8161</v>
      </c>
      <c r="C87" t="s">
        <v>8029</v>
      </c>
      <c r="D87">
        <v>12</v>
      </c>
    </row>
    <row r="88" spans="1:4" x14ac:dyDescent="0.55000000000000004">
      <c r="A88" t="s">
        <v>7960</v>
      </c>
      <c r="B88" t="s">
        <v>8161</v>
      </c>
      <c r="C88" t="s">
        <v>8029</v>
      </c>
      <c r="D88">
        <v>12</v>
      </c>
    </row>
    <row r="89" spans="1:4" x14ac:dyDescent="0.55000000000000004">
      <c r="A89" t="s">
        <v>7982</v>
      </c>
      <c r="B89" t="s">
        <v>8001</v>
      </c>
      <c r="C89" t="s">
        <v>8146</v>
      </c>
      <c r="D89">
        <v>13</v>
      </c>
    </row>
    <row r="90" spans="1:4" x14ac:dyDescent="0.55000000000000004">
      <c r="A90" t="s">
        <v>7983</v>
      </c>
      <c r="B90" t="s">
        <v>8001</v>
      </c>
      <c r="C90" t="s">
        <v>8146</v>
      </c>
      <c r="D90">
        <v>13</v>
      </c>
    </row>
    <row r="91" spans="1:4" x14ac:dyDescent="0.55000000000000004">
      <c r="A91" t="s">
        <v>7970</v>
      </c>
      <c r="B91" t="s">
        <v>7994</v>
      </c>
      <c r="C91" t="s">
        <v>8094</v>
      </c>
      <c r="D91">
        <v>14</v>
      </c>
    </row>
    <row r="92" spans="1:4" x14ac:dyDescent="0.55000000000000004">
      <c r="A92" t="s">
        <v>7943</v>
      </c>
      <c r="B92" t="s">
        <v>8009</v>
      </c>
      <c r="C92" t="s">
        <v>8138</v>
      </c>
      <c r="D92">
        <v>15</v>
      </c>
    </row>
    <row r="93" spans="1:4" x14ac:dyDescent="0.55000000000000004">
      <c r="A93" t="s">
        <v>7944</v>
      </c>
      <c r="B93" t="s">
        <v>8009</v>
      </c>
      <c r="C93" t="s">
        <v>8138</v>
      </c>
      <c r="D93">
        <v>15</v>
      </c>
    </row>
    <row r="94" spans="1:4" x14ac:dyDescent="0.55000000000000004">
      <c r="A94" t="s">
        <v>7945</v>
      </c>
      <c r="B94" t="s">
        <v>8009</v>
      </c>
      <c r="C94" t="s">
        <v>8138</v>
      </c>
      <c r="D94">
        <v>15</v>
      </c>
    </row>
    <row r="95" spans="1:4" x14ac:dyDescent="0.55000000000000004">
      <c r="A95" t="s">
        <v>7970</v>
      </c>
      <c r="B95" t="s">
        <v>8006</v>
      </c>
      <c r="C95" t="s">
        <v>8101</v>
      </c>
      <c r="D95">
        <v>16</v>
      </c>
    </row>
    <row r="96" spans="1:4" x14ac:dyDescent="0.55000000000000004">
      <c r="A96" t="s">
        <v>7970</v>
      </c>
      <c r="B96" t="s">
        <v>8010</v>
      </c>
      <c r="C96" t="s">
        <v>8105</v>
      </c>
      <c r="D96">
        <v>17</v>
      </c>
    </row>
    <row r="97" spans="1:4" x14ac:dyDescent="0.55000000000000004">
      <c r="A97" t="s">
        <v>7970</v>
      </c>
      <c r="B97" t="s">
        <v>8011</v>
      </c>
      <c r="C97" t="s">
        <v>8108</v>
      </c>
      <c r="D97">
        <v>18</v>
      </c>
    </row>
    <row r="98" spans="1:4" x14ac:dyDescent="0.55000000000000004">
      <c r="A98" t="s">
        <v>7985</v>
      </c>
      <c r="B98" t="s">
        <v>8162</v>
      </c>
      <c r="C98" t="s">
        <v>8030</v>
      </c>
      <c r="D98">
        <v>19</v>
      </c>
    </row>
    <row r="99" spans="1:4" x14ac:dyDescent="0.55000000000000004">
      <c r="A99" t="s">
        <v>7986</v>
      </c>
      <c r="B99" t="s">
        <v>8162</v>
      </c>
      <c r="C99" t="s">
        <v>8030</v>
      </c>
      <c r="D99">
        <v>19</v>
      </c>
    </row>
    <row r="100" spans="1:4" x14ac:dyDescent="0.55000000000000004">
      <c r="A100" t="s">
        <v>7987</v>
      </c>
      <c r="B100" t="s">
        <v>8162</v>
      </c>
      <c r="C100" t="s">
        <v>8030</v>
      </c>
      <c r="D100">
        <v>19</v>
      </c>
    </row>
    <row r="101" spans="1:4" x14ac:dyDescent="0.55000000000000004">
      <c r="A101" t="s">
        <v>7970</v>
      </c>
      <c r="B101" t="s">
        <v>8014</v>
      </c>
      <c r="C101" t="s">
        <v>8030</v>
      </c>
      <c r="D101">
        <v>19</v>
      </c>
    </row>
    <row r="102" spans="1:4" x14ac:dyDescent="0.55000000000000004">
      <c r="A102" t="s">
        <v>7967</v>
      </c>
      <c r="B102" t="s">
        <v>8161</v>
      </c>
      <c r="C102" t="s">
        <v>8030</v>
      </c>
      <c r="D102">
        <v>19</v>
      </c>
    </row>
    <row r="103" spans="1:4" x14ac:dyDescent="0.55000000000000004">
      <c r="A103" t="s">
        <v>7968</v>
      </c>
      <c r="B103" t="s">
        <v>8161</v>
      </c>
      <c r="C103" t="s">
        <v>8030</v>
      </c>
      <c r="D103">
        <v>19</v>
      </c>
    </row>
    <row r="104" spans="1:4" x14ac:dyDescent="0.55000000000000004">
      <c r="A104" t="s">
        <v>7969</v>
      </c>
      <c r="B104" t="s">
        <v>8161</v>
      </c>
      <c r="C104" t="s">
        <v>8030</v>
      </c>
      <c r="D104">
        <v>19</v>
      </c>
    </row>
    <row r="105" spans="1:4" x14ac:dyDescent="0.55000000000000004">
      <c r="A105" t="s">
        <v>7964</v>
      </c>
      <c r="B105" t="s">
        <v>8161</v>
      </c>
      <c r="C105" t="s">
        <v>8030</v>
      </c>
      <c r="D105">
        <v>19</v>
      </c>
    </row>
    <row r="106" spans="1:4" x14ac:dyDescent="0.55000000000000004">
      <c r="A106" t="s">
        <v>7965</v>
      </c>
      <c r="B106" t="s">
        <v>8161</v>
      </c>
      <c r="C106" t="s">
        <v>8030</v>
      </c>
      <c r="D106">
        <v>19</v>
      </c>
    </row>
    <row r="107" spans="1:4" x14ac:dyDescent="0.55000000000000004">
      <c r="A107" t="s">
        <v>7966</v>
      </c>
      <c r="B107" t="s">
        <v>8161</v>
      </c>
      <c r="C107" t="s">
        <v>8030</v>
      </c>
      <c r="D107">
        <v>19</v>
      </c>
    </row>
    <row r="108" spans="1:4" x14ac:dyDescent="0.55000000000000004">
      <c r="A108" t="s">
        <v>7958</v>
      </c>
      <c r="B108" t="s">
        <v>8162</v>
      </c>
      <c r="C108" t="s">
        <v>8030</v>
      </c>
      <c r="D108">
        <v>19</v>
      </c>
    </row>
    <row r="109" spans="1:4" x14ac:dyDescent="0.55000000000000004">
      <c r="A109" t="s">
        <v>7959</v>
      </c>
      <c r="B109" t="s">
        <v>8162</v>
      </c>
      <c r="C109" t="s">
        <v>8030</v>
      </c>
      <c r="D109">
        <v>19</v>
      </c>
    </row>
    <row r="110" spans="1:4" x14ac:dyDescent="0.55000000000000004">
      <c r="A110" t="s">
        <v>7960</v>
      </c>
      <c r="B110" t="s">
        <v>8162</v>
      </c>
      <c r="C110" t="s">
        <v>8030</v>
      </c>
      <c r="D110">
        <v>19</v>
      </c>
    </row>
    <row r="111" spans="1:4" x14ac:dyDescent="0.55000000000000004">
      <c r="A111" t="s">
        <v>7951</v>
      </c>
      <c r="B111" t="s">
        <v>8142</v>
      </c>
      <c r="C111" t="s">
        <v>7975</v>
      </c>
      <c r="D111">
        <v>20</v>
      </c>
    </row>
    <row r="112" spans="1:4" x14ac:dyDescent="0.55000000000000004">
      <c r="A112" t="s">
        <v>7952</v>
      </c>
      <c r="B112" t="s">
        <v>8142</v>
      </c>
      <c r="C112" t="s">
        <v>7975</v>
      </c>
      <c r="D112">
        <v>20</v>
      </c>
    </row>
    <row r="113" spans="1:4" x14ac:dyDescent="0.55000000000000004">
      <c r="A113" t="s">
        <v>7953</v>
      </c>
      <c r="B113" t="s">
        <v>8142</v>
      </c>
      <c r="C113" t="s">
        <v>7975</v>
      </c>
      <c r="D113">
        <v>20</v>
      </c>
    </row>
    <row r="114" spans="1:4" x14ac:dyDescent="0.55000000000000004">
      <c r="A114" t="s">
        <v>7954</v>
      </c>
      <c r="B114" t="s">
        <v>8142</v>
      </c>
      <c r="C114" t="s">
        <v>7975</v>
      </c>
      <c r="D114">
        <v>20</v>
      </c>
    </row>
    <row r="115" spans="1:4" x14ac:dyDescent="0.55000000000000004">
      <c r="A115" t="s">
        <v>7955</v>
      </c>
      <c r="B115" t="s">
        <v>8142</v>
      </c>
      <c r="C115" t="s">
        <v>7975</v>
      </c>
      <c r="D115">
        <v>20</v>
      </c>
    </row>
    <row r="116" spans="1:4" x14ac:dyDescent="0.55000000000000004">
      <c r="A116" t="s">
        <v>7956</v>
      </c>
      <c r="B116" t="s">
        <v>8142</v>
      </c>
      <c r="C116" t="s">
        <v>7975</v>
      </c>
      <c r="D116">
        <v>20</v>
      </c>
    </row>
    <row r="117" spans="1:4" x14ac:dyDescent="0.55000000000000004">
      <c r="A117" t="s">
        <v>7942</v>
      </c>
      <c r="B117" t="s">
        <v>8142</v>
      </c>
      <c r="C117" t="s">
        <v>7975</v>
      </c>
      <c r="D117">
        <v>20</v>
      </c>
    </row>
    <row r="118" spans="1:4" x14ac:dyDescent="0.55000000000000004">
      <c r="A118" t="s">
        <v>7946</v>
      </c>
      <c r="B118" t="s">
        <v>8142</v>
      </c>
      <c r="C118" t="s">
        <v>7975</v>
      </c>
      <c r="D118">
        <v>20</v>
      </c>
    </row>
    <row r="119" spans="1:4" x14ac:dyDescent="0.55000000000000004">
      <c r="A119" t="s">
        <v>7947</v>
      </c>
      <c r="B119" t="s">
        <v>8142</v>
      </c>
      <c r="C119" t="s">
        <v>7975</v>
      </c>
      <c r="D119">
        <v>20</v>
      </c>
    </row>
    <row r="120" spans="1:4" x14ac:dyDescent="0.55000000000000004">
      <c r="A120" t="s">
        <v>7970</v>
      </c>
      <c r="B120" t="s">
        <v>8017</v>
      </c>
      <c r="C120" t="s">
        <v>8113</v>
      </c>
      <c r="D120">
        <v>21</v>
      </c>
    </row>
    <row r="121" spans="1:4" x14ac:dyDescent="0.55000000000000004">
      <c r="A121" t="s">
        <v>7957</v>
      </c>
      <c r="B121" t="s">
        <v>8001</v>
      </c>
      <c r="C121" t="s">
        <v>8098</v>
      </c>
      <c r="D121">
        <v>22</v>
      </c>
    </row>
    <row r="122" spans="1:4" x14ac:dyDescent="0.55000000000000004">
      <c r="A122" t="s">
        <v>7985</v>
      </c>
      <c r="B122" t="s">
        <v>8164</v>
      </c>
      <c r="C122" t="s">
        <v>8031</v>
      </c>
      <c r="D122">
        <v>23</v>
      </c>
    </row>
    <row r="123" spans="1:4" x14ac:dyDescent="0.55000000000000004">
      <c r="A123" t="s">
        <v>7986</v>
      </c>
      <c r="B123" t="s">
        <v>8164</v>
      </c>
      <c r="C123" t="s">
        <v>8031</v>
      </c>
      <c r="D123">
        <v>23</v>
      </c>
    </row>
    <row r="124" spans="1:4" x14ac:dyDescent="0.55000000000000004">
      <c r="A124" t="s">
        <v>7987</v>
      </c>
      <c r="B124" t="s">
        <v>8164</v>
      </c>
      <c r="C124" t="s">
        <v>8031</v>
      </c>
      <c r="D124">
        <v>23</v>
      </c>
    </row>
    <row r="125" spans="1:4" x14ac:dyDescent="0.55000000000000004">
      <c r="A125" t="s">
        <v>7951</v>
      </c>
      <c r="B125" t="s">
        <v>8011</v>
      </c>
      <c r="C125" t="s">
        <v>8031</v>
      </c>
      <c r="D125">
        <v>23</v>
      </c>
    </row>
    <row r="126" spans="1:4" x14ac:dyDescent="0.55000000000000004">
      <c r="A126" t="s">
        <v>7952</v>
      </c>
      <c r="B126" t="s">
        <v>8011</v>
      </c>
      <c r="C126" t="s">
        <v>8031</v>
      </c>
      <c r="D126">
        <v>23</v>
      </c>
    </row>
    <row r="127" spans="1:4" x14ac:dyDescent="0.55000000000000004">
      <c r="A127" t="s">
        <v>7953</v>
      </c>
      <c r="B127" t="s">
        <v>8011</v>
      </c>
      <c r="C127" t="s">
        <v>8031</v>
      </c>
      <c r="D127">
        <v>23</v>
      </c>
    </row>
    <row r="128" spans="1:4" x14ac:dyDescent="0.55000000000000004">
      <c r="A128" t="s">
        <v>7954</v>
      </c>
      <c r="B128" t="s">
        <v>8011</v>
      </c>
      <c r="C128" t="s">
        <v>8031</v>
      </c>
      <c r="D128">
        <v>23</v>
      </c>
    </row>
    <row r="129" spans="1:4" x14ac:dyDescent="0.55000000000000004">
      <c r="A129" t="s">
        <v>7955</v>
      </c>
      <c r="B129" t="s">
        <v>8011</v>
      </c>
      <c r="C129" t="s">
        <v>8031</v>
      </c>
      <c r="D129">
        <v>23</v>
      </c>
    </row>
    <row r="130" spans="1:4" x14ac:dyDescent="0.55000000000000004">
      <c r="A130" t="s">
        <v>7956</v>
      </c>
      <c r="B130" t="s">
        <v>8011</v>
      </c>
      <c r="C130" t="s">
        <v>8031</v>
      </c>
      <c r="D130">
        <v>23</v>
      </c>
    </row>
    <row r="131" spans="1:4" x14ac:dyDescent="0.55000000000000004">
      <c r="A131" t="s">
        <v>7942</v>
      </c>
      <c r="B131" t="s">
        <v>8011</v>
      </c>
      <c r="C131" t="s">
        <v>8031</v>
      </c>
      <c r="D131">
        <v>23</v>
      </c>
    </row>
    <row r="132" spans="1:4" x14ac:dyDescent="0.55000000000000004">
      <c r="A132" t="s">
        <v>7946</v>
      </c>
      <c r="B132" t="s">
        <v>8011</v>
      </c>
      <c r="C132" t="s">
        <v>8031</v>
      </c>
      <c r="D132">
        <v>23</v>
      </c>
    </row>
    <row r="133" spans="1:4" x14ac:dyDescent="0.55000000000000004">
      <c r="A133" t="s">
        <v>7947</v>
      </c>
      <c r="B133" t="s">
        <v>8011</v>
      </c>
      <c r="C133" t="s">
        <v>8031</v>
      </c>
      <c r="D133">
        <v>23</v>
      </c>
    </row>
    <row r="134" spans="1:4" x14ac:dyDescent="0.55000000000000004">
      <c r="A134" t="s">
        <v>7943</v>
      </c>
      <c r="B134" t="s">
        <v>8023</v>
      </c>
      <c r="C134" t="s">
        <v>8031</v>
      </c>
      <c r="D134">
        <v>23</v>
      </c>
    </row>
    <row r="135" spans="1:4" x14ac:dyDescent="0.55000000000000004">
      <c r="A135" t="s">
        <v>7944</v>
      </c>
      <c r="B135" t="s">
        <v>8023</v>
      </c>
      <c r="C135" t="s">
        <v>8031</v>
      </c>
      <c r="D135">
        <v>23</v>
      </c>
    </row>
    <row r="136" spans="1:4" x14ac:dyDescent="0.55000000000000004">
      <c r="A136" t="s">
        <v>7945</v>
      </c>
      <c r="B136" t="s">
        <v>8023</v>
      </c>
      <c r="C136" t="s">
        <v>8031</v>
      </c>
      <c r="D136">
        <v>23</v>
      </c>
    </row>
    <row r="137" spans="1:4" x14ac:dyDescent="0.55000000000000004">
      <c r="A137" t="s">
        <v>7961</v>
      </c>
      <c r="B137" t="s">
        <v>8162</v>
      </c>
      <c r="C137" t="s">
        <v>8031</v>
      </c>
      <c r="D137">
        <v>23</v>
      </c>
    </row>
    <row r="138" spans="1:4" x14ac:dyDescent="0.55000000000000004">
      <c r="A138" t="s">
        <v>7962</v>
      </c>
      <c r="B138" t="s">
        <v>8162</v>
      </c>
      <c r="C138" t="s">
        <v>8031</v>
      </c>
      <c r="D138">
        <v>23</v>
      </c>
    </row>
    <row r="139" spans="1:4" x14ac:dyDescent="0.55000000000000004">
      <c r="A139" t="s">
        <v>7963</v>
      </c>
      <c r="B139" t="s">
        <v>8162</v>
      </c>
      <c r="C139" t="s">
        <v>8031</v>
      </c>
      <c r="D139">
        <v>23</v>
      </c>
    </row>
    <row r="140" spans="1:4" x14ac:dyDescent="0.55000000000000004">
      <c r="A140" t="s">
        <v>7948</v>
      </c>
      <c r="B140" t="s">
        <v>8162</v>
      </c>
      <c r="C140" t="s">
        <v>8031</v>
      </c>
      <c r="D140">
        <v>23</v>
      </c>
    </row>
    <row r="141" spans="1:4" x14ac:dyDescent="0.55000000000000004">
      <c r="A141" t="s">
        <v>7949</v>
      </c>
      <c r="B141" t="s">
        <v>8162</v>
      </c>
      <c r="C141" t="s">
        <v>8031</v>
      </c>
      <c r="D141">
        <v>23</v>
      </c>
    </row>
    <row r="142" spans="1:4" x14ac:dyDescent="0.55000000000000004">
      <c r="A142" t="s">
        <v>7950</v>
      </c>
      <c r="B142" t="s">
        <v>8162</v>
      </c>
      <c r="C142" t="s">
        <v>8031</v>
      </c>
      <c r="D142">
        <v>23</v>
      </c>
    </row>
    <row r="143" spans="1:4" x14ac:dyDescent="0.55000000000000004">
      <c r="A143" t="s">
        <v>7957</v>
      </c>
      <c r="B143" t="s">
        <v>8169</v>
      </c>
      <c r="C143" t="s">
        <v>8031</v>
      </c>
      <c r="D143">
        <v>23</v>
      </c>
    </row>
    <row r="144" spans="1:4" x14ac:dyDescent="0.55000000000000004">
      <c r="A144" t="s">
        <v>7958</v>
      </c>
      <c r="B144" t="s">
        <v>8164</v>
      </c>
      <c r="C144" t="s">
        <v>8031</v>
      </c>
      <c r="D144">
        <v>23</v>
      </c>
    </row>
    <row r="145" spans="1:4" x14ac:dyDescent="0.55000000000000004">
      <c r="A145" t="s">
        <v>7959</v>
      </c>
      <c r="B145" t="s">
        <v>8164</v>
      </c>
      <c r="C145" t="s">
        <v>8031</v>
      </c>
      <c r="D145">
        <v>23</v>
      </c>
    </row>
    <row r="146" spans="1:4" x14ac:dyDescent="0.55000000000000004">
      <c r="A146" t="s">
        <v>7960</v>
      </c>
      <c r="B146" t="s">
        <v>8164</v>
      </c>
      <c r="C146" t="s">
        <v>8031</v>
      </c>
      <c r="D146">
        <v>23</v>
      </c>
    </row>
    <row r="147" spans="1:4" x14ac:dyDescent="0.55000000000000004">
      <c r="A147" t="s">
        <v>7984</v>
      </c>
      <c r="B147" t="s">
        <v>8161</v>
      </c>
      <c r="C147" t="s">
        <v>8031</v>
      </c>
      <c r="D147">
        <v>23</v>
      </c>
    </row>
    <row r="148" spans="1:4" x14ac:dyDescent="0.55000000000000004">
      <c r="A148" t="s">
        <v>7970</v>
      </c>
      <c r="B148" t="s">
        <v>8024</v>
      </c>
      <c r="C148" t="s">
        <v>8036</v>
      </c>
      <c r="D148">
        <v>24</v>
      </c>
    </row>
    <row r="149" spans="1:4" x14ac:dyDescent="0.55000000000000004">
      <c r="A149" t="s">
        <v>7967</v>
      </c>
      <c r="B149" t="s">
        <v>8162</v>
      </c>
      <c r="C149" t="s">
        <v>8036</v>
      </c>
      <c r="D149">
        <v>24</v>
      </c>
    </row>
    <row r="150" spans="1:4" x14ac:dyDescent="0.55000000000000004">
      <c r="A150" t="s">
        <v>7968</v>
      </c>
      <c r="B150" t="s">
        <v>8162</v>
      </c>
      <c r="C150" t="s">
        <v>8036</v>
      </c>
      <c r="D150">
        <v>24</v>
      </c>
    </row>
    <row r="151" spans="1:4" x14ac:dyDescent="0.55000000000000004">
      <c r="A151" t="s">
        <v>7969</v>
      </c>
      <c r="B151" t="s">
        <v>8162</v>
      </c>
      <c r="C151" t="s">
        <v>8036</v>
      </c>
      <c r="D151">
        <v>24</v>
      </c>
    </row>
    <row r="152" spans="1:4" x14ac:dyDescent="0.55000000000000004">
      <c r="A152" t="s">
        <v>7964</v>
      </c>
      <c r="B152" t="s">
        <v>8162</v>
      </c>
      <c r="C152" t="s">
        <v>8036</v>
      </c>
      <c r="D152">
        <v>24</v>
      </c>
    </row>
    <row r="153" spans="1:4" x14ac:dyDescent="0.55000000000000004">
      <c r="A153" t="s">
        <v>7965</v>
      </c>
      <c r="B153" t="s">
        <v>8162</v>
      </c>
      <c r="C153" t="s">
        <v>8036</v>
      </c>
      <c r="D153">
        <v>24</v>
      </c>
    </row>
    <row r="154" spans="1:4" x14ac:dyDescent="0.55000000000000004">
      <c r="A154" t="s">
        <v>7966</v>
      </c>
      <c r="B154" t="s">
        <v>8162</v>
      </c>
      <c r="C154" t="s">
        <v>8036</v>
      </c>
      <c r="D154">
        <v>24</v>
      </c>
    </row>
    <row r="155" spans="1:4" x14ac:dyDescent="0.55000000000000004">
      <c r="A155" t="s">
        <v>7943</v>
      </c>
      <c r="B155" t="s">
        <v>8025</v>
      </c>
      <c r="C155" t="s">
        <v>8116</v>
      </c>
      <c r="D155">
        <v>25</v>
      </c>
    </row>
    <row r="156" spans="1:4" x14ac:dyDescent="0.55000000000000004">
      <c r="A156" t="s">
        <v>7944</v>
      </c>
      <c r="B156" t="s">
        <v>8025</v>
      </c>
      <c r="C156" t="s">
        <v>8116</v>
      </c>
      <c r="D156">
        <v>25</v>
      </c>
    </row>
    <row r="157" spans="1:4" x14ac:dyDescent="0.55000000000000004">
      <c r="A157" t="s">
        <v>7945</v>
      </c>
      <c r="B157" t="s">
        <v>8025</v>
      </c>
      <c r="C157" t="s">
        <v>8116</v>
      </c>
      <c r="D157">
        <v>25</v>
      </c>
    </row>
    <row r="158" spans="1:4" x14ac:dyDescent="0.55000000000000004">
      <c r="A158" t="s">
        <v>7985</v>
      </c>
      <c r="B158" t="s">
        <v>8166</v>
      </c>
      <c r="C158" t="s">
        <v>8053</v>
      </c>
      <c r="D158">
        <v>26</v>
      </c>
    </row>
    <row r="159" spans="1:4" x14ac:dyDescent="0.55000000000000004">
      <c r="A159" t="s">
        <v>7986</v>
      </c>
      <c r="B159" t="s">
        <v>8166</v>
      </c>
      <c r="C159" t="s">
        <v>8053</v>
      </c>
      <c r="D159">
        <v>26</v>
      </c>
    </row>
    <row r="160" spans="1:4" x14ac:dyDescent="0.55000000000000004">
      <c r="A160" t="s">
        <v>7987</v>
      </c>
      <c r="B160" t="s">
        <v>8166</v>
      </c>
      <c r="C160" t="s">
        <v>8053</v>
      </c>
      <c r="D160">
        <v>26</v>
      </c>
    </row>
    <row r="161" spans="1:4" x14ac:dyDescent="0.55000000000000004">
      <c r="A161" t="s">
        <v>7951</v>
      </c>
      <c r="B161" t="s">
        <v>8001</v>
      </c>
      <c r="C161" t="s">
        <v>8053</v>
      </c>
      <c r="D161">
        <v>26</v>
      </c>
    </row>
    <row r="162" spans="1:4" x14ac:dyDescent="0.55000000000000004">
      <c r="A162" t="s">
        <v>7952</v>
      </c>
      <c r="B162" t="s">
        <v>8001</v>
      </c>
      <c r="C162" t="s">
        <v>8053</v>
      </c>
      <c r="D162">
        <v>26</v>
      </c>
    </row>
    <row r="163" spans="1:4" x14ac:dyDescent="0.55000000000000004">
      <c r="A163" t="s">
        <v>7953</v>
      </c>
      <c r="B163" t="s">
        <v>8001</v>
      </c>
      <c r="C163" t="s">
        <v>8053</v>
      </c>
      <c r="D163">
        <v>26</v>
      </c>
    </row>
    <row r="164" spans="1:4" x14ac:dyDescent="0.55000000000000004">
      <c r="A164" t="s">
        <v>7954</v>
      </c>
      <c r="B164" t="s">
        <v>8001</v>
      </c>
      <c r="C164" t="s">
        <v>8053</v>
      </c>
      <c r="D164">
        <v>26</v>
      </c>
    </row>
    <row r="165" spans="1:4" x14ac:dyDescent="0.55000000000000004">
      <c r="A165" t="s">
        <v>7955</v>
      </c>
      <c r="B165" t="s">
        <v>8001</v>
      </c>
      <c r="C165" t="s">
        <v>8053</v>
      </c>
      <c r="D165">
        <v>26</v>
      </c>
    </row>
    <row r="166" spans="1:4" x14ac:dyDescent="0.55000000000000004">
      <c r="A166" t="s">
        <v>7956</v>
      </c>
      <c r="B166" t="s">
        <v>8001</v>
      </c>
      <c r="C166" t="s">
        <v>8053</v>
      </c>
      <c r="D166">
        <v>26</v>
      </c>
    </row>
    <row r="167" spans="1:4" x14ac:dyDescent="0.55000000000000004">
      <c r="A167" t="s">
        <v>7982</v>
      </c>
      <c r="B167" t="s">
        <v>8014</v>
      </c>
      <c r="C167" t="s">
        <v>8053</v>
      </c>
      <c r="D167">
        <v>26</v>
      </c>
    </row>
    <row r="168" spans="1:4" x14ac:dyDescent="0.55000000000000004">
      <c r="A168" t="s">
        <v>7983</v>
      </c>
      <c r="B168" t="s">
        <v>8014</v>
      </c>
      <c r="C168" t="s">
        <v>8053</v>
      </c>
      <c r="D168">
        <v>26</v>
      </c>
    </row>
    <row r="169" spans="1:4" x14ac:dyDescent="0.55000000000000004">
      <c r="A169" t="s">
        <v>7942</v>
      </c>
      <c r="B169" t="s">
        <v>8001</v>
      </c>
      <c r="C169" t="s">
        <v>8053</v>
      </c>
      <c r="D169">
        <v>26</v>
      </c>
    </row>
    <row r="170" spans="1:4" x14ac:dyDescent="0.55000000000000004">
      <c r="A170" t="s">
        <v>7946</v>
      </c>
      <c r="B170" t="s">
        <v>8001</v>
      </c>
      <c r="C170" t="s">
        <v>8053</v>
      </c>
      <c r="D170">
        <v>26</v>
      </c>
    </row>
    <row r="171" spans="1:4" x14ac:dyDescent="0.55000000000000004">
      <c r="A171" t="s">
        <v>7947</v>
      </c>
      <c r="B171" t="s">
        <v>8001</v>
      </c>
      <c r="C171" t="s">
        <v>8053</v>
      </c>
      <c r="D171">
        <v>26</v>
      </c>
    </row>
    <row r="172" spans="1:4" x14ac:dyDescent="0.55000000000000004">
      <c r="A172" t="s">
        <v>7970</v>
      </c>
      <c r="B172" t="s">
        <v>8026</v>
      </c>
      <c r="C172" t="s">
        <v>8053</v>
      </c>
      <c r="D172">
        <v>26</v>
      </c>
    </row>
    <row r="173" spans="1:4" x14ac:dyDescent="0.55000000000000004">
      <c r="A173" t="s">
        <v>7943</v>
      </c>
      <c r="B173" t="s">
        <v>8026</v>
      </c>
      <c r="C173" t="s">
        <v>8053</v>
      </c>
      <c r="D173">
        <v>26</v>
      </c>
    </row>
    <row r="174" spans="1:4" x14ac:dyDescent="0.55000000000000004">
      <c r="A174" t="s">
        <v>7944</v>
      </c>
      <c r="B174" t="s">
        <v>8026</v>
      </c>
      <c r="C174" t="s">
        <v>8053</v>
      </c>
      <c r="D174">
        <v>26</v>
      </c>
    </row>
    <row r="175" spans="1:4" x14ac:dyDescent="0.55000000000000004">
      <c r="A175" t="s">
        <v>7945</v>
      </c>
      <c r="B175" t="s">
        <v>8026</v>
      </c>
      <c r="C175" t="s">
        <v>8053</v>
      </c>
      <c r="D175">
        <v>26</v>
      </c>
    </row>
    <row r="176" spans="1:4" x14ac:dyDescent="0.55000000000000004">
      <c r="A176" t="s">
        <v>7958</v>
      </c>
      <c r="B176" t="s">
        <v>8166</v>
      </c>
      <c r="C176" t="s">
        <v>8053</v>
      </c>
      <c r="D176">
        <v>26</v>
      </c>
    </row>
    <row r="177" spans="1:4" x14ac:dyDescent="0.55000000000000004">
      <c r="A177" t="s">
        <v>7959</v>
      </c>
      <c r="B177" t="s">
        <v>8166</v>
      </c>
      <c r="C177" t="s">
        <v>8053</v>
      </c>
      <c r="D177">
        <v>26</v>
      </c>
    </row>
    <row r="178" spans="1:4" x14ac:dyDescent="0.55000000000000004">
      <c r="A178" t="s">
        <v>7960</v>
      </c>
      <c r="B178" t="s">
        <v>8166</v>
      </c>
      <c r="C178" t="s">
        <v>8053</v>
      </c>
      <c r="D178">
        <v>26</v>
      </c>
    </row>
    <row r="179" spans="1:4" x14ac:dyDescent="0.55000000000000004">
      <c r="A179" t="s">
        <v>7970</v>
      </c>
      <c r="B179" t="s">
        <v>8027</v>
      </c>
      <c r="C179" t="s">
        <v>8159</v>
      </c>
      <c r="D179">
        <v>27</v>
      </c>
    </row>
    <row r="180" spans="1:4" x14ac:dyDescent="0.55000000000000004">
      <c r="A180" t="s">
        <v>7943</v>
      </c>
      <c r="B180" t="s">
        <v>8027</v>
      </c>
      <c r="C180" t="s">
        <v>8159</v>
      </c>
      <c r="D180">
        <v>27</v>
      </c>
    </row>
    <row r="181" spans="1:4" x14ac:dyDescent="0.55000000000000004">
      <c r="A181" t="s">
        <v>7944</v>
      </c>
      <c r="B181" t="s">
        <v>8027</v>
      </c>
      <c r="C181" t="s">
        <v>8159</v>
      </c>
      <c r="D181">
        <v>27</v>
      </c>
    </row>
    <row r="182" spans="1:4" x14ac:dyDescent="0.55000000000000004">
      <c r="A182" t="s">
        <v>7945</v>
      </c>
      <c r="B182" t="s">
        <v>8027</v>
      </c>
      <c r="C182" t="s">
        <v>8159</v>
      </c>
      <c r="D182">
        <v>27</v>
      </c>
    </row>
    <row r="183" spans="1:4" x14ac:dyDescent="0.55000000000000004">
      <c r="A183" t="s">
        <v>7957</v>
      </c>
      <c r="B183" t="s">
        <v>8011</v>
      </c>
      <c r="C183" t="s">
        <v>8109</v>
      </c>
      <c r="D183">
        <v>28</v>
      </c>
    </row>
    <row r="184" spans="1:4" x14ac:dyDescent="0.55000000000000004">
      <c r="A184" t="s">
        <v>7970</v>
      </c>
      <c r="B184" t="s">
        <v>8028</v>
      </c>
      <c r="C184" t="s">
        <v>8160</v>
      </c>
      <c r="D184">
        <v>29</v>
      </c>
    </row>
    <row r="185" spans="1:4" x14ac:dyDescent="0.55000000000000004">
      <c r="A185" t="s">
        <v>7967</v>
      </c>
      <c r="B185" t="s">
        <v>8164</v>
      </c>
      <c r="C185" t="s">
        <v>8041</v>
      </c>
      <c r="D185">
        <v>30</v>
      </c>
    </row>
    <row r="186" spans="1:4" x14ac:dyDescent="0.55000000000000004">
      <c r="A186" t="s">
        <v>7968</v>
      </c>
      <c r="B186" t="s">
        <v>8164</v>
      </c>
      <c r="C186" t="s">
        <v>8041</v>
      </c>
      <c r="D186">
        <v>30</v>
      </c>
    </row>
    <row r="187" spans="1:4" x14ac:dyDescent="0.55000000000000004">
      <c r="A187" t="s">
        <v>7969</v>
      </c>
      <c r="B187" t="s">
        <v>8164</v>
      </c>
      <c r="C187" t="s">
        <v>8041</v>
      </c>
      <c r="D187">
        <v>30</v>
      </c>
    </row>
    <row r="188" spans="1:4" x14ac:dyDescent="0.55000000000000004">
      <c r="A188" t="s">
        <v>7964</v>
      </c>
      <c r="B188" t="s">
        <v>8164</v>
      </c>
      <c r="C188" t="s">
        <v>8041</v>
      </c>
      <c r="D188">
        <v>30</v>
      </c>
    </row>
    <row r="189" spans="1:4" x14ac:dyDescent="0.55000000000000004">
      <c r="A189" t="s">
        <v>7965</v>
      </c>
      <c r="B189" t="s">
        <v>8164</v>
      </c>
      <c r="C189" t="s">
        <v>8041</v>
      </c>
      <c r="D189">
        <v>30</v>
      </c>
    </row>
    <row r="190" spans="1:4" x14ac:dyDescent="0.55000000000000004">
      <c r="A190" t="s">
        <v>7966</v>
      </c>
      <c r="B190" t="s">
        <v>8164</v>
      </c>
      <c r="C190" t="s">
        <v>8041</v>
      </c>
      <c r="D190">
        <v>30</v>
      </c>
    </row>
    <row r="191" spans="1:4" x14ac:dyDescent="0.55000000000000004">
      <c r="A191" t="s">
        <v>7985</v>
      </c>
      <c r="B191" t="s">
        <v>8167</v>
      </c>
      <c r="C191" t="s">
        <v>8064</v>
      </c>
      <c r="D191">
        <v>31</v>
      </c>
    </row>
    <row r="192" spans="1:4" x14ac:dyDescent="0.55000000000000004">
      <c r="A192" t="s">
        <v>7986</v>
      </c>
      <c r="B192" t="s">
        <v>8167</v>
      </c>
      <c r="C192" t="s">
        <v>8064</v>
      </c>
      <c r="D192">
        <v>31</v>
      </c>
    </row>
    <row r="193" spans="1:4" x14ac:dyDescent="0.55000000000000004">
      <c r="A193" t="s">
        <v>7987</v>
      </c>
      <c r="B193" t="s">
        <v>8167</v>
      </c>
      <c r="C193" t="s">
        <v>8064</v>
      </c>
      <c r="D193">
        <v>31</v>
      </c>
    </row>
    <row r="194" spans="1:4" x14ac:dyDescent="0.55000000000000004">
      <c r="A194" t="s">
        <v>7943</v>
      </c>
      <c r="B194" t="s">
        <v>8015</v>
      </c>
      <c r="C194" t="s">
        <v>8064</v>
      </c>
      <c r="D194">
        <v>31</v>
      </c>
    </row>
    <row r="195" spans="1:4" x14ac:dyDescent="0.55000000000000004">
      <c r="A195" t="s">
        <v>7944</v>
      </c>
      <c r="B195" t="s">
        <v>8015</v>
      </c>
      <c r="C195" t="s">
        <v>8064</v>
      </c>
      <c r="D195">
        <v>31</v>
      </c>
    </row>
    <row r="196" spans="1:4" x14ac:dyDescent="0.55000000000000004">
      <c r="A196" t="s">
        <v>7945</v>
      </c>
      <c r="B196" t="s">
        <v>8015</v>
      </c>
      <c r="C196" t="s">
        <v>8064</v>
      </c>
      <c r="D196">
        <v>31</v>
      </c>
    </row>
    <row r="197" spans="1:4" x14ac:dyDescent="0.55000000000000004">
      <c r="A197" t="s">
        <v>7958</v>
      </c>
      <c r="B197" t="s">
        <v>8167</v>
      </c>
      <c r="C197" t="s">
        <v>8064</v>
      </c>
      <c r="D197">
        <v>31</v>
      </c>
    </row>
    <row r="198" spans="1:4" x14ac:dyDescent="0.55000000000000004">
      <c r="A198" t="s">
        <v>7959</v>
      </c>
      <c r="B198" t="s">
        <v>8167</v>
      </c>
      <c r="C198" t="s">
        <v>8064</v>
      </c>
      <c r="D198">
        <v>31</v>
      </c>
    </row>
    <row r="199" spans="1:4" x14ac:dyDescent="0.55000000000000004">
      <c r="A199" t="s">
        <v>7960</v>
      </c>
      <c r="B199" t="s">
        <v>8167</v>
      </c>
      <c r="C199" t="s">
        <v>8064</v>
      </c>
      <c r="D199">
        <v>31</v>
      </c>
    </row>
    <row r="200" spans="1:4" x14ac:dyDescent="0.55000000000000004">
      <c r="A200" t="s">
        <v>7982</v>
      </c>
      <c r="B200" t="s">
        <v>8006</v>
      </c>
      <c r="C200" t="s">
        <v>8148</v>
      </c>
      <c r="D200">
        <v>32</v>
      </c>
    </row>
    <row r="201" spans="1:4" x14ac:dyDescent="0.55000000000000004">
      <c r="A201" t="s">
        <v>7983</v>
      </c>
      <c r="B201" t="s">
        <v>8006</v>
      </c>
      <c r="C201" t="s">
        <v>8148</v>
      </c>
      <c r="D201">
        <v>32</v>
      </c>
    </row>
    <row r="202" spans="1:4" x14ac:dyDescent="0.55000000000000004">
      <c r="A202" t="s">
        <v>7943</v>
      </c>
      <c r="B202" t="s">
        <v>8005</v>
      </c>
      <c r="C202" t="s">
        <v>8042</v>
      </c>
      <c r="D202">
        <v>33</v>
      </c>
    </row>
    <row r="203" spans="1:4" x14ac:dyDescent="0.55000000000000004">
      <c r="A203" t="s">
        <v>7944</v>
      </c>
      <c r="B203" t="s">
        <v>8005</v>
      </c>
      <c r="C203" t="s">
        <v>8042</v>
      </c>
      <c r="D203">
        <v>33</v>
      </c>
    </row>
    <row r="204" spans="1:4" x14ac:dyDescent="0.55000000000000004">
      <c r="A204" t="s">
        <v>7945</v>
      </c>
      <c r="B204" t="s">
        <v>8005</v>
      </c>
      <c r="C204" t="s">
        <v>8042</v>
      </c>
      <c r="D204">
        <v>33</v>
      </c>
    </row>
    <row r="205" spans="1:4" x14ac:dyDescent="0.55000000000000004">
      <c r="A205" t="s">
        <v>7961</v>
      </c>
      <c r="B205" t="s">
        <v>8164</v>
      </c>
      <c r="C205" t="s">
        <v>8042</v>
      </c>
      <c r="D205">
        <v>33</v>
      </c>
    </row>
    <row r="206" spans="1:4" x14ac:dyDescent="0.55000000000000004">
      <c r="A206" t="s">
        <v>7962</v>
      </c>
      <c r="B206" t="s">
        <v>8164</v>
      </c>
      <c r="C206" t="s">
        <v>8042</v>
      </c>
      <c r="D206">
        <v>33</v>
      </c>
    </row>
    <row r="207" spans="1:4" x14ac:dyDescent="0.55000000000000004">
      <c r="A207" t="s">
        <v>7963</v>
      </c>
      <c r="B207" t="s">
        <v>8164</v>
      </c>
      <c r="C207" t="s">
        <v>8042</v>
      </c>
      <c r="D207">
        <v>33</v>
      </c>
    </row>
    <row r="208" spans="1:4" x14ac:dyDescent="0.55000000000000004">
      <c r="A208" t="s">
        <v>7943</v>
      </c>
      <c r="B208" t="s">
        <v>8013</v>
      </c>
      <c r="C208" t="s">
        <v>8043</v>
      </c>
      <c r="D208">
        <v>34</v>
      </c>
    </row>
    <row r="209" spans="1:4" x14ac:dyDescent="0.55000000000000004">
      <c r="A209" t="s">
        <v>7944</v>
      </c>
      <c r="B209" t="s">
        <v>8013</v>
      </c>
      <c r="C209" t="s">
        <v>8043</v>
      </c>
      <c r="D209">
        <v>34</v>
      </c>
    </row>
    <row r="210" spans="1:4" x14ac:dyDescent="0.55000000000000004">
      <c r="A210" t="s">
        <v>7945</v>
      </c>
      <c r="B210" t="s">
        <v>8013</v>
      </c>
      <c r="C210" t="s">
        <v>8043</v>
      </c>
      <c r="D210">
        <v>34</v>
      </c>
    </row>
    <row r="211" spans="1:4" x14ac:dyDescent="0.55000000000000004">
      <c r="A211" t="s">
        <v>7948</v>
      </c>
      <c r="B211" t="s">
        <v>8164</v>
      </c>
      <c r="C211" t="s">
        <v>8043</v>
      </c>
      <c r="D211">
        <v>34</v>
      </c>
    </row>
    <row r="212" spans="1:4" x14ac:dyDescent="0.55000000000000004">
      <c r="A212" t="s">
        <v>7949</v>
      </c>
      <c r="B212" t="s">
        <v>8164</v>
      </c>
      <c r="C212" t="s">
        <v>8043</v>
      </c>
      <c r="D212">
        <v>34</v>
      </c>
    </row>
    <row r="213" spans="1:4" x14ac:dyDescent="0.55000000000000004">
      <c r="A213" t="s">
        <v>7950</v>
      </c>
      <c r="B213" t="s">
        <v>8164</v>
      </c>
      <c r="C213" t="s">
        <v>8043</v>
      </c>
      <c r="D213">
        <v>34</v>
      </c>
    </row>
    <row r="214" spans="1:4" x14ac:dyDescent="0.55000000000000004">
      <c r="A214" t="s">
        <v>7984</v>
      </c>
      <c r="B214" t="s">
        <v>8170</v>
      </c>
      <c r="C214" t="s">
        <v>8043</v>
      </c>
      <c r="D214">
        <v>34</v>
      </c>
    </row>
    <row r="215" spans="1:4" x14ac:dyDescent="0.55000000000000004">
      <c r="A215" t="s">
        <v>7957</v>
      </c>
      <c r="B215" t="s">
        <v>8161</v>
      </c>
      <c r="C215" t="s">
        <v>8032</v>
      </c>
      <c r="D215">
        <v>35</v>
      </c>
    </row>
    <row r="216" spans="1:4" x14ac:dyDescent="0.55000000000000004">
      <c r="A216" t="s">
        <v>7970</v>
      </c>
      <c r="B216" t="s">
        <v>8033</v>
      </c>
      <c r="C216" t="s">
        <v>8117</v>
      </c>
      <c r="D216">
        <v>36</v>
      </c>
    </row>
    <row r="217" spans="1:4" x14ac:dyDescent="0.55000000000000004">
      <c r="A217" t="s">
        <v>7970</v>
      </c>
      <c r="B217" t="s">
        <v>7995</v>
      </c>
      <c r="C217" t="s">
        <v>8054</v>
      </c>
      <c r="D217">
        <v>37</v>
      </c>
    </row>
    <row r="218" spans="1:4" x14ac:dyDescent="0.55000000000000004">
      <c r="A218" t="s">
        <v>7943</v>
      </c>
      <c r="B218" t="s">
        <v>7995</v>
      </c>
      <c r="C218" t="s">
        <v>8054</v>
      </c>
      <c r="D218">
        <v>37</v>
      </c>
    </row>
    <row r="219" spans="1:4" x14ac:dyDescent="0.55000000000000004">
      <c r="A219" t="s">
        <v>7944</v>
      </c>
      <c r="B219" t="s">
        <v>7995</v>
      </c>
      <c r="C219" t="s">
        <v>8054</v>
      </c>
      <c r="D219">
        <v>37</v>
      </c>
    </row>
    <row r="220" spans="1:4" x14ac:dyDescent="0.55000000000000004">
      <c r="A220" t="s">
        <v>7945</v>
      </c>
      <c r="B220" t="s">
        <v>7995</v>
      </c>
      <c r="C220" t="s">
        <v>8054</v>
      </c>
      <c r="D220">
        <v>37</v>
      </c>
    </row>
    <row r="221" spans="1:4" x14ac:dyDescent="0.55000000000000004">
      <c r="A221" t="s">
        <v>7961</v>
      </c>
      <c r="B221" t="s">
        <v>8166</v>
      </c>
      <c r="C221" t="s">
        <v>8054</v>
      </c>
      <c r="D221">
        <v>37</v>
      </c>
    </row>
    <row r="222" spans="1:4" x14ac:dyDescent="0.55000000000000004">
      <c r="A222" t="s">
        <v>7962</v>
      </c>
      <c r="B222" t="s">
        <v>8166</v>
      </c>
      <c r="C222" t="s">
        <v>8054</v>
      </c>
      <c r="D222">
        <v>37</v>
      </c>
    </row>
    <row r="223" spans="1:4" x14ac:dyDescent="0.55000000000000004">
      <c r="A223" t="s">
        <v>7963</v>
      </c>
      <c r="B223" t="s">
        <v>8166</v>
      </c>
      <c r="C223" t="s">
        <v>8054</v>
      </c>
      <c r="D223">
        <v>37</v>
      </c>
    </row>
    <row r="224" spans="1:4" x14ac:dyDescent="0.55000000000000004">
      <c r="A224" t="s">
        <v>7970</v>
      </c>
      <c r="B224" t="s">
        <v>8034</v>
      </c>
      <c r="C224" t="s">
        <v>8118</v>
      </c>
      <c r="D224">
        <v>38</v>
      </c>
    </row>
    <row r="225" spans="1:4" x14ac:dyDescent="0.55000000000000004">
      <c r="A225" t="s">
        <v>7948</v>
      </c>
      <c r="B225" t="s">
        <v>8166</v>
      </c>
      <c r="C225" t="s">
        <v>8055</v>
      </c>
      <c r="D225">
        <v>39</v>
      </c>
    </row>
    <row r="226" spans="1:4" x14ac:dyDescent="0.55000000000000004">
      <c r="A226" t="s">
        <v>7949</v>
      </c>
      <c r="B226" t="s">
        <v>8166</v>
      </c>
      <c r="C226" t="s">
        <v>8055</v>
      </c>
      <c r="D226">
        <v>39</v>
      </c>
    </row>
    <row r="227" spans="1:4" x14ac:dyDescent="0.55000000000000004">
      <c r="A227" t="s">
        <v>7950</v>
      </c>
      <c r="B227" t="s">
        <v>8166</v>
      </c>
      <c r="C227" t="s">
        <v>8055</v>
      </c>
      <c r="D227">
        <v>39</v>
      </c>
    </row>
    <row r="228" spans="1:4" x14ac:dyDescent="0.55000000000000004">
      <c r="A228" t="s">
        <v>7943</v>
      </c>
      <c r="B228" t="s">
        <v>8007</v>
      </c>
      <c r="C228" t="s">
        <v>8140</v>
      </c>
      <c r="D228">
        <v>40</v>
      </c>
    </row>
    <row r="229" spans="1:4" x14ac:dyDescent="0.55000000000000004">
      <c r="A229" t="s">
        <v>7944</v>
      </c>
      <c r="B229" t="s">
        <v>8007</v>
      </c>
      <c r="C229" t="s">
        <v>8140</v>
      </c>
      <c r="D229">
        <v>40</v>
      </c>
    </row>
    <row r="230" spans="1:4" x14ac:dyDescent="0.55000000000000004">
      <c r="A230" t="s">
        <v>7945</v>
      </c>
      <c r="B230" t="s">
        <v>8007</v>
      </c>
      <c r="C230" t="s">
        <v>8140</v>
      </c>
      <c r="D230">
        <v>40</v>
      </c>
    </row>
    <row r="231" spans="1:4" x14ac:dyDescent="0.55000000000000004">
      <c r="A231" t="s">
        <v>7967</v>
      </c>
      <c r="B231" t="s">
        <v>8166</v>
      </c>
      <c r="C231" t="s">
        <v>8056</v>
      </c>
      <c r="D231">
        <v>41</v>
      </c>
    </row>
    <row r="232" spans="1:4" x14ac:dyDescent="0.55000000000000004">
      <c r="A232" t="s">
        <v>7968</v>
      </c>
      <c r="B232" t="s">
        <v>8166</v>
      </c>
      <c r="C232" t="s">
        <v>8056</v>
      </c>
      <c r="D232">
        <v>41</v>
      </c>
    </row>
    <row r="233" spans="1:4" x14ac:dyDescent="0.55000000000000004">
      <c r="A233" t="s">
        <v>7969</v>
      </c>
      <c r="B233" t="s">
        <v>8166</v>
      </c>
      <c r="C233" t="s">
        <v>8056</v>
      </c>
      <c r="D233">
        <v>41</v>
      </c>
    </row>
    <row r="234" spans="1:4" x14ac:dyDescent="0.55000000000000004">
      <c r="A234" t="s">
        <v>7964</v>
      </c>
      <c r="B234" t="s">
        <v>8166</v>
      </c>
      <c r="C234" t="s">
        <v>8056</v>
      </c>
      <c r="D234">
        <v>41</v>
      </c>
    </row>
    <row r="235" spans="1:4" x14ac:dyDescent="0.55000000000000004">
      <c r="A235" t="s">
        <v>7965</v>
      </c>
      <c r="B235" t="s">
        <v>8166</v>
      </c>
      <c r="C235" t="s">
        <v>8056</v>
      </c>
      <c r="D235">
        <v>41</v>
      </c>
    </row>
    <row r="236" spans="1:4" x14ac:dyDescent="0.55000000000000004">
      <c r="A236" t="s">
        <v>7966</v>
      </c>
      <c r="B236" t="s">
        <v>8166</v>
      </c>
      <c r="C236" t="s">
        <v>8056</v>
      </c>
      <c r="D236">
        <v>41</v>
      </c>
    </row>
    <row r="237" spans="1:4" x14ac:dyDescent="0.55000000000000004">
      <c r="A237" t="s">
        <v>7985</v>
      </c>
      <c r="B237" t="s">
        <v>8169</v>
      </c>
      <c r="C237" t="s">
        <v>1254</v>
      </c>
      <c r="D237">
        <v>42</v>
      </c>
    </row>
    <row r="238" spans="1:4" x14ac:dyDescent="0.55000000000000004">
      <c r="A238" t="s">
        <v>7986</v>
      </c>
      <c r="B238" t="s">
        <v>8169</v>
      </c>
      <c r="C238" t="s">
        <v>1254</v>
      </c>
      <c r="D238">
        <v>42</v>
      </c>
    </row>
    <row r="239" spans="1:4" x14ac:dyDescent="0.55000000000000004">
      <c r="A239" t="s">
        <v>7987</v>
      </c>
      <c r="B239" t="s">
        <v>8169</v>
      </c>
      <c r="C239" t="s">
        <v>1254</v>
      </c>
      <c r="D239">
        <v>42</v>
      </c>
    </row>
    <row r="240" spans="1:4" x14ac:dyDescent="0.55000000000000004">
      <c r="A240" t="s">
        <v>7970</v>
      </c>
      <c r="B240" t="s">
        <v>8039</v>
      </c>
      <c r="C240" t="s">
        <v>1254</v>
      </c>
      <c r="D240">
        <v>42</v>
      </c>
    </row>
    <row r="241" spans="1:4" x14ac:dyDescent="0.55000000000000004">
      <c r="A241" t="s">
        <v>7943</v>
      </c>
      <c r="B241" t="s">
        <v>8039</v>
      </c>
      <c r="C241" t="s">
        <v>1254</v>
      </c>
      <c r="D241">
        <v>42</v>
      </c>
    </row>
    <row r="242" spans="1:4" x14ac:dyDescent="0.55000000000000004">
      <c r="A242" t="s">
        <v>7944</v>
      </c>
      <c r="B242" t="s">
        <v>8039</v>
      </c>
      <c r="C242" t="s">
        <v>1254</v>
      </c>
      <c r="D242">
        <v>42</v>
      </c>
    </row>
    <row r="243" spans="1:4" x14ac:dyDescent="0.55000000000000004">
      <c r="A243" t="s">
        <v>7945</v>
      </c>
      <c r="B243" t="s">
        <v>8039</v>
      </c>
      <c r="C243" t="s">
        <v>1254</v>
      </c>
      <c r="D243">
        <v>42</v>
      </c>
    </row>
    <row r="244" spans="1:4" x14ac:dyDescent="0.55000000000000004">
      <c r="A244" t="s">
        <v>7961</v>
      </c>
      <c r="B244" t="s">
        <v>8167</v>
      </c>
      <c r="C244" t="s">
        <v>1254</v>
      </c>
      <c r="D244">
        <v>42</v>
      </c>
    </row>
    <row r="245" spans="1:4" x14ac:dyDescent="0.55000000000000004">
      <c r="A245" t="s">
        <v>7962</v>
      </c>
      <c r="B245" t="s">
        <v>8167</v>
      </c>
      <c r="C245" t="s">
        <v>1254</v>
      </c>
      <c r="D245">
        <v>42</v>
      </c>
    </row>
    <row r="246" spans="1:4" x14ac:dyDescent="0.55000000000000004">
      <c r="A246" t="s">
        <v>7963</v>
      </c>
      <c r="B246" t="s">
        <v>8167</v>
      </c>
      <c r="C246" t="s">
        <v>1254</v>
      </c>
      <c r="D246">
        <v>42</v>
      </c>
    </row>
    <row r="247" spans="1:4" x14ac:dyDescent="0.55000000000000004">
      <c r="A247" t="s">
        <v>7967</v>
      </c>
      <c r="B247" t="s">
        <v>8167</v>
      </c>
      <c r="C247" t="s">
        <v>1254</v>
      </c>
      <c r="D247">
        <v>42</v>
      </c>
    </row>
    <row r="248" spans="1:4" x14ac:dyDescent="0.55000000000000004">
      <c r="A248" t="s">
        <v>7968</v>
      </c>
      <c r="B248" t="s">
        <v>8167</v>
      </c>
      <c r="C248" t="s">
        <v>1254</v>
      </c>
      <c r="D248">
        <v>42</v>
      </c>
    </row>
    <row r="249" spans="1:4" x14ac:dyDescent="0.55000000000000004">
      <c r="A249" t="s">
        <v>7969</v>
      </c>
      <c r="B249" t="s">
        <v>8167</v>
      </c>
      <c r="C249" t="s">
        <v>1254</v>
      </c>
      <c r="D249">
        <v>42</v>
      </c>
    </row>
    <row r="250" spans="1:4" x14ac:dyDescent="0.55000000000000004">
      <c r="A250" t="s">
        <v>7964</v>
      </c>
      <c r="B250" t="s">
        <v>8167</v>
      </c>
      <c r="C250" t="s">
        <v>1254</v>
      </c>
      <c r="D250">
        <v>42</v>
      </c>
    </row>
    <row r="251" spans="1:4" x14ac:dyDescent="0.55000000000000004">
      <c r="A251" t="s">
        <v>7965</v>
      </c>
      <c r="B251" t="s">
        <v>8167</v>
      </c>
      <c r="C251" t="s">
        <v>1254</v>
      </c>
      <c r="D251">
        <v>42</v>
      </c>
    </row>
    <row r="252" spans="1:4" x14ac:dyDescent="0.55000000000000004">
      <c r="A252" t="s">
        <v>7966</v>
      </c>
      <c r="B252" t="s">
        <v>8167</v>
      </c>
      <c r="C252" t="s">
        <v>1254</v>
      </c>
      <c r="D252">
        <v>42</v>
      </c>
    </row>
    <row r="253" spans="1:4" x14ac:dyDescent="0.55000000000000004">
      <c r="A253" t="s">
        <v>7958</v>
      </c>
      <c r="B253" t="s">
        <v>8169</v>
      </c>
      <c r="C253" t="s">
        <v>1254</v>
      </c>
      <c r="D253">
        <v>42</v>
      </c>
    </row>
    <row r="254" spans="1:4" x14ac:dyDescent="0.55000000000000004">
      <c r="A254" t="s">
        <v>7959</v>
      </c>
      <c r="B254" t="s">
        <v>8169</v>
      </c>
      <c r="C254" t="s">
        <v>1254</v>
      </c>
      <c r="D254">
        <v>42</v>
      </c>
    </row>
    <row r="255" spans="1:4" x14ac:dyDescent="0.55000000000000004">
      <c r="A255" t="s">
        <v>7960</v>
      </c>
      <c r="B255" t="s">
        <v>8169</v>
      </c>
      <c r="C255" t="s">
        <v>1254</v>
      </c>
      <c r="D255">
        <v>42</v>
      </c>
    </row>
    <row r="256" spans="1:4" x14ac:dyDescent="0.55000000000000004">
      <c r="A256" t="s">
        <v>7951</v>
      </c>
      <c r="B256" t="s">
        <v>8162</v>
      </c>
      <c r="C256" t="s">
        <v>7978</v>
      </c>
      <c r="D256">
        <v>43</v>
      </c>
    </row>
    <row r="257" spans="1:4" x14ac:dyDescent="0.55000000000000004">
      <c r="A257" t="s">
        <v>7952</v>
      </c>
      <c r="B257" t="s">
        <v>8162</v>
      </c>
      <c r="C257" t="s">
        <v>7978</v>
      </c>
      <c r="D257">
        <v>43</v>
      </c>
    </row>
    <row r="258" spans="1:4" x14ac:dyDescent="0.55000000000000004">
      <c r="A258" t="s">
        <v>7953</v>
      </c>
      <c r="B258" t="s">
        <v>8162</v>
      </c>
      <c r="C258" t="s">
        <v>7978</v>
      </c>
      <c r="D258">
        <v>43</v>
      </c>
    </row>
    <row r="259" spans="1:4" x14ac:dyDescent="0.55000000000000004">
      <c r="A259" t="s">
        <v>7954</v>
      </c>
      <c r="B259" t="s">
        <v>8162</v>
      </c>
      <c r="C259" t="s">
        <v>7978</v>
      </c>
      <c r="D259">
        <v>43</v>
      </c>
    </row>
    <row r="260" spans="1:4" x14ac:dyDescent="0.55000000000000004">
      <c r="A260" t="s">
        <v>7955</v>
      </c>
      <c r="B260" t="s">
        <v>8162</v>
      </c>
      <c r="C260" t="s">
        <v>7978</v>
      </c>
      <c r="D260">
        <v>43</v>
      </c>
    </row>
    <row r="261" spans="1:4" x14ac:dyDescent="0.55000000000000004">
      <c r="A261" t="s">
        <v>7956</v>
      </c>
      <c r="B261" t="s">
        <v>8162</v>
      </c>
      <c r="C261" t="s">
        <v>7978</v>
      </c>
      <c r="D261">
        <v>43</v>
      </c>
    </row>
    <row r="262" spans="1:4" x14ac:dyDescent="0.55000000000000004">
      <c r="A262" t="s">
        <v>7942</v>
      </c>
      <c r="B262" t="s">
        <v>8162</v>
      </c>
      <c r="C262" t="s">
        <v>7978</v>
      </c>
      <c r="D262">
        <v>43</v>
      </c>
    </row>
    <row r="263" spans="1:4" x14ac:dyDescent="0.55000000000000004">
      <c r="A263" t="s">
        <v>7946</v>
      </c>
      <c r="B263" t="s">
        <v>8162</v>
      </c>
      <c r="C263" t="s">
        <v>7978</v>
      </c>
      <c r="D263">
        <v>43</v>
      </c>
    </row>
    <row r="264" spans="1:4" x14ac:dyDescent="0.55000000000000004">
      <c r="A264" t="s">
        <v>7947</v>
      </c>
      <c r="B264" t="s">
        <v>8162</v>
      </c>
      <c r="C264" t="s">
        <v>7978</v>
      </c>
      <c r="D264">
        <v>43</v>
      </c>
    </row>
    <row r="265" spans="1:4" x14ac:dyDescent="0.55000000000000004">
      <c r="A265" t="s">
        <v>7970</v>
      </c>
      <c r="B265" t="s">
        <v>8040</v>
      </c>
      <c r="C265" t="s">
        <v>8163</v>
      </c>
      <c r="D265">
        <v>44</v>
      </c>
    </row>
    <row r="266" spans="1:4" x14ac:dyDescent="0.55000000000000004">
      <c r="A266" t="s">
        <v>7985</v>
      </c>
      <c r="B266" t="s">
        <v>8170</v>
      </c>
      <c r="C266" t="s">
        <v>4934</v>
      </c>
      <c r="D266">
        <v>45</v>
      </c>
    </row>
    <row r="267" spans="1:4" x14ac:dyDescent="0.55000000000000004">
      <c r="A267" t="s">
        <v>7986</v>
      </c>
      <c r="B267" t="s">
        <v>8170</v>
      </c>
      <c r="C267" t="s">
        <v>4934</v>
      </c>
      <c r="D267">
        <v>45</v>
      </c>
    </row>
    <row r="268" spans="1:4" x14ac:dyDescent="0.55000000000000004">
      <c r="A268" t="s">
        <v>7987</v>
      </c>
      <c r="B268" t="s">
        <v>8170</v>
      </c>
      <c r="C268" t="s">
        <v>4934</v>
      </c>
      <c r="D268">
        <v>45</v>
      </c>
    </row>
    <row r="269" spans="1:4" x14ac:dyDescent="0.55000000000000004">
      <c r="A269" t="s">
        <v>7982</v>
      </c>
      <c r="B269" t="s">
        <v>8016</v>
      </c>
      <c r="C269" t="s">
        <v>4934</v>
      </c>
      <c r="D269">
        <v>45</v>
      </c>
    </row>
    <row r="270" spans="1:4" x14ac:dyDescent="0.55000000000000004">
      <c r="A270" t="s">
        <v>7983</v>
      </c>
      <c r="B270" t="s">
        <v>8016</v>
      </c>
      <c r="C270" t="s">
        <v>4934</v>
      </c>
      <c r="D270">
        <v>45</v>
      </c>
    </row>
    <row r="271" spans="1:4" x14ac:dyDescent="0.55000000000000004">
      <c r="A271" t="s">
        <v>7957</v>
      </c>
      <c r="B271" t="s">
        <v>8016</v>
      </c>
      <c r="C271" t="s">
        <v>4934</v>
      </c>
      <c r="D271">
        <v>45</v>
      </c>
    </row>
    <row r="272" spans="1:4" x14ac:dyDescent="0.55000000000000004">
      <c r="A272" t="s">
        <v>7958</v>
      </c>
      <c r="B272" t="s">
        <v>8170</v>
      </c>
      <c r="C272" t="s">
        <v>4934</v>
      </c>
      <c r="D272">
        <v>45</v>
      </c>
    </row>
    <row r="273" spans="1:4" x14ac:dyDescent="0.55000000000000004">
      <c r="A273" t="s">
        <v>7959</v>
      </c>
      <c r="B273" t="s">
        <v>8170</v>
      </c>
      <c r="C273" t="s">
        <v>4934</v>
      </c>
      <c r="D273">
        <v>45</v>
      </c>
    </row>
    <row r="274" spans="1:4" x14ac:dyDescent="0.55000000000000004">
      <c r="A274" t="s">
        <v>7960</v>
      </c>
      <c r="B274" t="s">
        <v>8170</v>
      </c>
      <c r="C274" t="s">
        <v>4934</v>
      </c>
      <c r="D274">
        <v>45</v>
      </c>
    </row>
    <row r="275" spans="1:4" x14ac:dyDescent="0.55000000000000004">
      <c r="A275" t="s">
        <v>7967</v>
      </c>
      <c r="B275" t="s">
        <v>8169</v>
      </c>
      <c r="C275" t="s">
        <v>8075</v>
      </c>
      <c r="D275">
        <v>46</v>
      </c>
    </row>
    <row r="276" spans="1:4" x14ac:dyDescent="0.55000000000000004">
      <c r="A276" t="s">
        <v>7968</v>
      </c>
      <c r="B276" t="s">
        <v>8169</v>
      </c>
      <c r="C276" t="s">
        <v>8075</v>
      </c>
      <c r="D276">
        <v>46</v>
      </c>
    </row>
    <row r="277" spans="1:4" x14ac:dyDescent="0.55000000000000004">
      <c r="A277" t="s">
        <v>7969</v>
      </c>
      <c r="B277" t="s">
        <v>8169</v>
      </c>
      <c r="C277" t="s">
        <v>8075</v>
      </c>
      <c r="D277">
        <v>46</v>
      </c>
    </row>
    <row r="278" spans="1:4" x14ac:dyDescent="0.55000000000000004">
      <c r="A278" t="s">
        <v>7964</v>
      </c>
      <c r="B278" t="s">
        <v>8169</v>
      </c>
      <c r="C278" t="s">
        <v>8075</v>
      </c>
      <c r="D278">
        <v>46</v>
      </c>
    </row>
    <row r="279" spans="1:4" x14ac:dyDescent="0.55000000000000004">
      <c r="A279" t="s">
        <v>7965</v>
      </c>
      <c r="B279" t="s">
        <v>8169</v>
      </c>
      <c r="C279" t="s">
        <v>8075</v>
      </c>
      <c r="D279">
        <v>46</v>
      </c>
    </row>
    <row r="280" spans="1:4" x14ac:dyDescent="0.55000000000000004">
      <c r="A280" t="s">
        <v>7966</v>
      </c>
      <c r="B280" t="s">
        <v>8169</v>
      </c>
      <c r="C280" t="s">
        <v>8075</v>
      </c>
      <c r="D280">
        <v>46</v>
      </c>
    </row>
    <row r="281" spans="1:4" x14ac:dyDescent="0.55000000000000004">
      <c r="A281" t="s">
        <v>7943</v>
      </c>
      <c r="B281" t="s">
        <v>8046</v>
      </c>
      <c r="C281" t="s">
        <v>8065</v>
      </c>
      <c r="D281">
        <v>47</v>
      </c>
    </row>
    <row r="282" spans="1:4" x14ac:dyDescent="0.55000000000000004">
      <c r="A282" t="s">
        <v>7944</v>
      </c>
      <c r="B282" t="s">
        <v>8046</v>
      </c>
      <c r="C282" t="s">
        <v>8065</v>
      </c>
      <c r="D282">
        <v>47</v>
      </c>
    </row>
    <row r="283" spans="1:4" x14ac:dyDescent="0.55000000000000004">
      <c r="A283" t="s">
        <v>7945</v>
      </c>
      <c r="B283" t="s">
        <v>8046</v>
      </c>
      <c r="C283" t="s">
        <v>8065</v>
      </c>
      <c r="D283">
        <v>47</v>
      </c>
    </row>
    <row r="284" spans="1:4" x14ac:dyDescent="0.55000000000000004">
      <c r="A284" t="s">
        <v>7948</v>
      </c>
      <c r="B284" t="s">
        <v>8167</v>
      </c>
      <c r="C284" t="s">
        <v>8065</v>
      </c>
      <c r="D284">
        <v>47</v>
      </c>
    </row>
    <row r="285" spans="1:4" x14ac:dyDescent="0.55000000000000004">
      <c r="A285" t="s">
        <v>7949</v>
      </c>
      <c r="B285" t="s">
        <v>8167</v>
      </c>
      <c r="C285" t="s">
        <v>8065</v>
      </c>
      <c r="D285">
        <v>47</v>
      </c>
    </row>
    <row r="286" spans="1:4" x14ac:dyDescent="0.55000000000000004">
      <c r="A286" t="s">
        <v>7950</v>
      </c>
      <c r="B286" t="s">
        <v>8167</v>
      </c>
      <c r="C286" t="s">
        <v>8065</v>
      </c>
      <c r="D286">
        <v>47</v>
      </c>
    </row>
    <row r="287" spans="1:4" x14ac:dyDescent="0.55000000000000004">
      <c r="A287" t="s">
        <v>7984</v>
      </c>
      <c r="B287" t="s">
        <v>7994</v>
      </c>
      <c r="C287" t="s">
        <v>8065</v>
      </c>
      <c r="D287">
        <v>47</v>
      </c>
    </row>
    <row r="288" spans="1:4" x14ac:dyDescent="0.55000000000000004">
      <c r="A288" t="s">
        <v>7967</v>
      </c>
      <c r="B288" t="s">
        <v>8170</v>
      </c>
      <c r="C288" t="s">
        <v>8085</v>
      </c>
      <c r="D288">
        <v>48</v>
      </c>
    </row>
    <row r="289" spans="1:4" x14ac:dyDescent="0.55000000000000004">
      <c r="A289" t="s">
        <v>7968</v>
      </c>
      <c r="B289" t="s">
        <v>8170</v>
      </c>
      <c r="C289" t="s">
        <v>8085</v>
      </c>
      <c r="D289">
        <v>48</v>
      </c>
    </row>
    <row r="290" spans="1:4" x14ac:dyDescent="0.55000000000000004">
      <c r="A290" t="s">
        <v>7969</v>
      </c>
      <c r="B290" t="s">
        <v>8170</v>
      </c>
      <c r="C290" t="s">
        <v>8085</v>
      </c>
      <c r="D290">
        <v>48</v>
      </c>
    </row>
    <row r="291" spans="1:4" x14ac:dyDescent="0.55000000000000004">
      <c r="A291" t="s">
        <v>7964</v>
      </c>
      <c r="B291" t="s">
        <v>8170</v>
      </c>
      <c r="C291" t="s">
        <v>8085</v>
      </c>
      <c r="D291">
        <v>48</v>
      </c>
    </row>
    <row r="292" spans="1:4" x14ac:dyDescent="0.55000000000000004">
      <c r="A292" t="s">
        <v>7965</v>
      </c>
      <c r="B292" t="s">
        <v>8170</v>
      </c>
      <c r="C292" t="s">
        <v>8085</v>
      </c>
      <c r="D292">
        <v>48</v>
      </c>
    </row>
    <row r="293" spans="1:4" x14ac:dyDescent="0.55000000000000004">
      <c r="A293" t="s">
        <v>7966</v>
      </c>
      <c r="B293" t="s">
        <v>8170</v>
      </c>
      <c r="C293" t="s">
        <v>8085</v>
      </c>
      <c r="D293">
        <v>48</v>
      </c>
    </row>
    <row r="294" spans="1:4" x14ac:dyDescent="0.55000000000000004">
      <c r="A294" t="s">
        <v>7985</v>
      </c>
      <c r="B294" t="s">
        <v>7994</v>
      </c>
      <c r="C294" t="s">
        <v>8144</v>
      </c>
      <c r="D294">
        <v>49</v>
      </c>
    </row>
    <row r="295" spans="1:4" x14ac:dyDescent="0.55000000000000004">
      <c r="A295" t="s">
        <v>7986</v>
      </c>
      <c r="B295" t="s">
        <v>7994</v>
      </c>
      <c r="C295" t="s">
        <v>8144</v>
      </c>
      <c r="D295">
        <v>49</v>
      </c>
    </row>
    <row r="296" spans="1:4" x14ac:dyDescent="0.55000000000000004">
      <c r="A296" t="s">
        <v>7987</v>
      </c>
      <c r="B296" t="s">
        <v>7994</v>
      </c>
      <c r="C296" t="s">
        <v>8144</v>
      </c>
      <c r="D296">
        <v>49</v>
      </c>
    </row>
    <row r="297" spans="1:4" x14ac:dyDescent="0.55000000000000004">
      <c r="A297" t="s">
        <v>7958</v>
      </c>
      <c r="B297" t="s">
        <v>7994</v>
      </c>
      <c r="C297" t="s">
        <v>8144</v>
      </c>
      <c r="D297">
        <v>49</v>
      </c>
    </row>
    <row r="298" spans="1:4" x14ac:dyDescent="0.55000000000000004">
      <c r="A298" t="s">
        <v>7959</v>
      </c>
      <c r="B298" t="s">
        <v>7994</v>
      </c>
      <c r="C298" t="s">
        <v>8144</v>
      </c>
      <c r="D298">
        <v>49</v>
      </c>
    </row>
    <row r="299" spans="1:4" x14ac:dyDescent="0.55000000000000004">
      <c r="A299" t="s">
        <v>7960</v>
      </c>
      <c r="B299" t="s">
        <v>7994</v>
      </c>
      <c r="C299" t="s">
        <v>8144</v>
      </c>
      <c r="D299">
        <v>49</v>
      </c>
    </row>
    <row r="300" spans="1:4" x14ac:dyDescent="0.55000000000000004">
      <c r="A300" t="s">
        <v>7985</v>
      </c>
      <c r="B300" t="s">
        <v>8001</v>
      </c>
      <c r="C300" t="s">
        <v>8099</v>
      </c>
      <c r="D300">
        <v>50</v>
      </c>
    </row>
    <row r="301" spans="1:4" x14ac:dyDescent="0.55000000000000004">
      <c r="A301" t="s">
        <v>7986</v>
      </c>
      <c r="B301" t="s">
        <v>8001</v>
      </c>
      <c r="C301" t="s">
        <v>8099</v>
      </c>
      <c r="D301">
        <v>50</v>
      </c>
    </row>
    <row r="302" spans="1:4" x14ac:dyDescent="0.55000000000000004">
      <c r="A302" t="s">
        <v>7987</v>
      </c>
      <c r="B302" t="s">
        <v>8001</v>
      </c>
      <c r="C302" t="s">
        <v>8099</v>
      </c>
      <c r="D302">
        <v>50</v>
      </c>
    </row>
    <row r="303" spans="1:4" x14ac:dyDescent="0.55000000000000004">
      <c r="A303" t="s">
        <v>7958</v>
      </c>
      <c r="B303" t="s">
        <v>8001</v>
      </c>
      <c r="C303" t="s">
        <v>8099</v>
      </c>
      <c r="D303">
        <v>50</v>
      </c>
    </row>
    <row r="304" spans="1:4" x14ac:dyDescent="0.55000000000000004">
      <c r="A304" t="s">
        <v>7959</v>
      </c>
      <c r="B304" t="s">
        <v>8001</v>
      </c>
      <c r="C304" t="s">
        <v>8099</v>
      </c>
      <c r="D304">
        <v>50</v>
      </c>
    </row>
    <row r="305" spans="1:4" x14ac:dyDescent="0.55000000000000004">
      <c r="A305" t="s">
        <v>7960</v>
      </c>
      <c r="B305" t="s">
        <v>8001</v>
      </c>
      <c r="C305" t="s">
        <v>8099</v>
      </c>
      <c r="D305">
        <v>50</v>
      </c>
    </row>
    <row r="306" spans="1:4" x14ac:dyDescent="0.55000000000000004">
      <c r="A306" t="s">
        <v>7970</v>
      </c>
      <c r="B306" t="s">
        <v>8047</v>
      </c>
      <c r="C306" t="s">
        <v>8119</v>
      </c>
      <c r="D306">
        <v>51</v>
      </c>
    </row>
    <row r="307" spans="1:4" x14ac:dyDescent="0.55000000000000004">
      <c r="A307" t="s">
        <v>7943</v>
      </c>
      <c r="B307" t="s">
        <v>8047</v>
      </c>
      <c r="C307" t="s">
        <v>8119</v>
      </c>
      <c r="D307">
        <v>51</v>
      </c>
    </row>
    <row r="308" spans="1:4" x14ac:dyDescent="0.55000000000000004">
      <c r="A308" t="s">
        <v>7944</v>
      </c>
      <c r="B308" t="s">
        <v>8047</v>
      </c>
      <c r="C308" t="s">
        <v>8119</v>
      </c>
      <c r="D308">
        <v>51</v>
      </c>
    </row>
    <row r="309" spans="1:4" x14ac:dyDescent="0.55000000000000004">
      <c r="A309" t="s">
        <v>7945</v>
      </c>
      <c r="B309" t="s">
        <v>8047</v>
      </c>
      <c r="C309" t="s">
        <v>8119</v>
      </c>
      <c r="D309">
        <v>51</v>
      </c>
    </row>
    <row r="310" spans="1:4" x14ac:dyDescent="0.55000000000000004">
      <c r="A310" t="s">
        <v>7961</v>
      </c>
      <c r="B310" t="s">
        <v>8169</v>
      </c>
      <c r="C310" t="s">
        <v>8076</v>
      </c>
      <c r="D310">
        <v>52</v>
      </c>
    </row>
    <row r="311" spans="1:4" x14ac:dyDescent="0.55000000000000004">
      <c r="A311" t="s">
        <v>7962</v>
      </c>
      <c r="B311" t="s">
        <v>8169</v>
      </c>
      <c r="C311" t="s">
        <v>8076</v>
      </c>
      <c r="D311">
        <v>52</v>
      </c>
    </row>
    <row r="312" spans="1:4" x14ac:dyDescent="0.55000000000000004">
      <c r="A312" t="s">
        <v>7963</v>
      </c>
      <c r="B312" t="s">
        <v>8169</v>
      </c>
      <c r="C312" t="s">
        <v>8076</v>
      </c>
      <c r="D312">
        <v>52</v>
      </c>
    </row>
    <row r="313" spans="1:4" x14ac:dyDescent="0.55000000000000004">
      <c r="A313" t="s">
        <v>7943</v>
      </c>
      <c r="B313" t="s">
        <v>8048</v>
      </c>
      <c r="C313" t="s">
        <v>8120</v>
      </c>
      <c r="D313">
        <v>53</v>
      </c>
    </row>
    <row r="314" spans="1:4" x14ac:dyDescent="0.55000000000000004">
      <c r="A314" t="s">
        <v>7944</v>
      </c>
      <c r="B314" t="s">
        <v>8048</v>
      </c>
      <c r="C314" t="s">
        <v>8120</v>
      </c>
      <c r="D314">
        <v>53</v>
      </c>
    </row>
    <row r="315" spans="1:4" x14ac:dyDescent="0.55000000000000004">
      <c r="A315" t="s">
        <v>7945</v>
      </c>
      <c r="B315" t="s">
        <v>8048</v>
      </c>
      <c r="C315" t="s">
        <v>8120</v>
      </c>
      <c r="D315">
        <v>53</v>
      </c>
    </row>
    <row r="316" spans="1:4" x14ac:dyDescent="0.55000000000000004">
      <c r="A316" t="s">
        <v>7967</v>
      </c>
      <c r="B316" t="s">
        <v>7994</v>
      </c>
      <c r="C316" t="s">
        <v>8095</v>
      </c>
      <c r="D316">
        <v>54</v>
      </c>
    </row>
    <row r="317" spans="1:4" x14ac:dyDescent="0.55000000000000004">
      <c r="A317" t="s">
        <v>7968</v>
      </c>
      <c r="B317" t="s">
        <v>7994</v>
      </c>
      <c r="C317" t="s">
        <v>8095</v>
      </c>
      <c r="D317">
        <v>54</v>
      </c>
    </row>
    <row r="318" spans="1:4" x14ac:dyDescent="0.55000000000000004">
      <c r="A318" t="s">
        <v>7969</v>
      </c>
      <c r="B318" t="s">
        <v>7994</v>
      </c>
      <c r="C318" t="s">
        <v>8095</v>
      </c>
      <c r="D318">
        <v>54</v>
      </c>
    </row>
    <row r="319" spans="1:4" x14ac:dyDescent="0.55000000000000004">
      <c r="A319" t="s">
        <v>7964</v>
      </c>
      <c r="B319" t="s">
        <v>7994</v>
      </c>
      <c r="C319" t="s">
        <v>8095</v>
      </c>
      <c r="D319">
        <v>54</v>
      </c>
    </row>
    <row r="320" spans="1:4" x14ac:dyDescent="0.55000000000000004">
      <c r="A320" t="s">
        <v>7965</v>
      </c>
      <c r="B320" t="s">
        <v>7994</v>
      </c>
      <c r="C320" t="s">
        <v>8095</v>
      </c>
      <c r="D320">
        <v>54</v>
      </c>
    </row>
    <row r="321" spans="1:4" x14ac:dyDescent="0.55000000000000004">
      <c r="A321" t="s">
        <v>7966</v>
      </c>
      <c r="B321" t="s">
        <v>7994</v>
      </c>
      <c r="C321" t="s">
        <v>8095</v>
      </c>
      <c r="D321">
        <v>54</v>
      </c>
    </row>
    <row r="322" spans="1:4" x14ac:dyDescent="0.55000000000000004">
      <c r="A322" t="s">
        <v>7970</v>
      </c>
      <c r="B322" t="s">
        <v>8049</v>
      </c>
      <c r="C322" t="s">
        <v>8086</v>
      </c>
      <c r="D322">
        <v>55</v>
      </c>
    </row>
    <row r="323" spans="1:4" x14ac:dyDescent="0.55000000000000004">
      <c r="A323" t="s">
        <v>7943</v>
      </c>
      <c r="B323" t="s">
        <v>8049</v>
      </c>
      <c r="C323" t="s">
        <v>8086</v>
      </c>
      <c r="D323">
        <v>55</v>
      </c>
    </row>
    <row r="324" spans="1:4" x14ac:dyDescent="0.55000000000000004">
      <c r="A324" t="s">
        <v>7944</v>
      </c>
      <c r="B324" t="s">
        <v>8049</v>
      </c>
      <c r="C324" t="s">
        <v>8086</v>
      </c>
      <c r="D324">
        <v>55</v>
      </c>
    </row>
    <row r="325" spans="1:4" x14ac:dyDescent="0.55000000000000004">
      <c r="A325" t="s">
        <v>7945</v>
      </c>
      <c r="B325" t="s">
        <v>8049</v>
      </c>
      <c r="C325" t="s">
        <v>8086</v>
      </c>
      <c r="D325">
        <v>55</v>
      </c>
    </row>
    <row r="326" spans="1:4" x14ac:dyDescent="0.55000000000000004">
      <c r="A326" t="s">
        <v>7961</v>
      </c>
      <c r="B326" t="s">
        <v>8170</v>
      </c>
      <c r="C326" t="s">
        <v>8086</v>
      </c>
      <c r="D326">
        <v>55</v>
      </c>
    </row>
    <row r="327" spans="1:4" x14ac:dyDescent="0.55000000000000004">
      <c r="A327" t="s">
        <v>7962</v>
      </c>
      <c r="B327" t="s">
        <v>8170</v>
      </c>
      <c r="C327" t="s">
        <v>8086</v>
      </c>
      <c r="D327">
        <v>55</v>
      </c>
    </row>
    <row r="328" spans="1:4" x14ac:dyDescent="0.55000000000000004">
      <c r="A328" t="s">
        <v>7963</v>
      </c>
      <c r="B328" t="s">
        <v>8170</v>
      </c>
      <c r="C328" t="s">
        <v>8086</v>
      </c>
      <c r="D328">
        <v>55</v>
      </c>
    </row>
    <row r="329" spans="1:4" x14ac:dyDescent="0.55000000000000004">
      <c r="A329" t="s">
        <v>7970</v>
      </c>
      <c r="B329" t="s">
        <v>8050</v>
      </c>
      <c r="C329" t="s">
        <v>8165</v>
      </c>
      <c r="D329">
        <v>56</v>
      </c>
    </row>
    <row r="330" spans="1:4" x14ac:dyDescent="0.55000000000000004">
      <c r="A330" t="s">
        <v>7985</v>
      </c>
      <c r="B330" t="s">
        <v>8006</v>
      </c>
      <c r="C330" t="s">
        <v>8044</v>
      </c>
      <c r="D330">
        <v>57</v>
      </c>
    </row>
    <row r="331" spans="1:4" x14ac:dyDescent="0.55000000000000004">
      <c r="A331" t="s">
        <v>7986</v>
      </c>
      <c r="B331" t="s">
        <v>8006</v>
      </c>
      <c r="C331" t="s">
        <v>8044</v>
      </c>
      <c r="D331">
        <v>57</v>
      </c>
    </row>
    <row r="332" spans="1:4" x14ac:dyDescent="0.55000000000000004">
      <c r="A332" t="s">
        <v>7987</v>
      </c>
      <c r="B332" t="s">
        <v>8006</v>
      </c>
      <c r="C332" t="s">
        <v>8044</v>
      </c>
      <c r="D332">
        <v>57</v>
      </c>
    </row>
    <row r="333" spans="1:4" x14ac:dyDescent="0.55000000000000004">
      <c r="A333" t="s">
        <v>7957</v>
      </c>
      <c r="B333" t="s">
        <v>8164</v>
      </c>
      <c r="C333" t="s">
        <v>8044</v>
      </c>
      <c r="D333">
        <v>57</v>
      </c>
    </row>
    <row r="334" spans="1:4" x14ac:dyDescent="0.55000000000000004">
      <c r="A334" t="s">
        <v>7958</v>
      </c>
      <c r="B334" t="s">
        <v>8006</v>
      </c>
      <c r="C334" t="s">
        <v>8044</v>
      </c>
      <c r="D334">
        <v>57</v>
      </c>
    </row>
    <row r="335" spans="1:4" x14ac:dyDescent="0.55000000000000004">
      <c r="A335" t="s">
        <v>7959</v>
      </c>
      <c r="B335" t="s">
        <v>8006</v>
      </c>
      <c r="C335" t="s">
        <v>8044</v>
      </c>
      <c r="D335">
        <v>57</v>
      </c>
    </row>
    <row r="336" spans="1:4" x14ac:dyDescent="0.55000000000000004">
      <c r="A336" t="s">
        <v>7960</v>
      </c>
      <c r="B336" t="s">
        <v>8006</v>
      </c>
      <c r="C336" t="s">
        <v>8044</v>
      </c>
      <c r="D336">
        <v>57</v>
      </c>
    </row>
    <row r="337" spans="1:4" x14ac:dyDescent="0.55000000000000004">
      <c r="A337" t="s">
        <v>7970</v>
      </c>
      <c r="B337" t="s">
        <v>8051</v>
      </c>
      <c r="C337" t="s">
        <v>7988</v>
      </c>
      <c r="D337">
        <v>58</v>
      </c>
    </row>
    <row r="338" spans="1:4" x14ac:dyDescent="0.55000000000000004">
      <c r="A338" t="s">
        <v>7982</v>
      </c>
      <c r="B338" t="s">
        <v>8166</v>
      </c>
      <c r="C338" t="s">
        <v>3116</v>
      </c>
      <c r="D338">
        <v>59</v>
      </c>
    </row>
    <row r="339" spans="1:4" x14ac:dyDescent="0.55000000000000004">
      <c r="A339" t="s">
        <v>7983</v>
      </c>
      <c r="B339" t="s">
        <v>8166</v>
      </c>
      <c r="C339" t="s">
        <v>3116</v>
      </c>
      <c r="D339">
        <v>59</v>
      </c>
    </row>
    <row r="340" spans="1:4" x14ac:dyDescent="0.55000000000000004">
      <c r="A340" t="s">
        <v>7970</v>
      </c>
      <c r="B340" t="s">
        <v>8057</v>
      </c>
      <c r="C340" t="s">
        <v>8100</v>
      </c>
      <c r="D340">
        <v>60</v>
      </c>
    </row>
    <row r="341" spans="1:4" x14ac:dyDescent="0.55000000000000004">
      <c r="A341" t="s">
        <v>7967</v>
      </c>
      <c r="B341" t="s">
        <v>8001</v>
      </c>
      <c r="C341" t="s">
        <v>8100</v>
      </c>
      <c r="D341">
        <v>60</v>
      </c>
    </row>
    <row r="342" spans="1:4" x14ac:dyDescent="0.55000000000000004">
      <c r="A342" t="s">
        <v>7968</v>
      </c>
      <c r="B342" t="s">
        <v>8001</v>
      </c>
      <c r="C342" t="s">
        <v>8100</v>
      </c>
      <c r="D342">
        <v>60</v>
      </c>
    </row>
    <row r="343" spans="1:4" x14ac:dyDescent="0.55000000000000004">
      <c r="A343" t="s">
        <v>7969</v>
      </c>
      <c r="B343" t="s">
        <v>8001</v>
      </c>
      <c r="C343" t="s">
        <v>8100</v>
      </c>
      <c r="D343">
        <v>60</v>
      </c>
    </row>
    <row r="344" spans="1:4" x14ac:dyDescent="0.55000000000000004">
      <c r="A344" t="s">
        <v>7964</v>
      </c>
      <c r="B344" t="s">
        <v>8001</v>
      </c>
      <c r="C344" t="s">
        <v>8100</v>
      </c>
      <c r="D344">
        <v>60</v>
      </c>
    </row>
    <row r="345" spans="1:4" x14ac:dyDescent="0.55000000000000004">
      <c r="A345" t="s">
        <v>7965</v>
      </c>
      <c r="B345" t="s">
        <v>8001</v>
      </c>
      <c r="C345" t="s">
        <v>8100</v>
      </c>
      <c r="D345">
        <v>60</v>
      </c>
    </row>
    <row r="346" spans="1:4" x14ac:dyDescent="0.55000000000000004">
      <c r="A346" t="s">
        <v>7966</v>
      </c>
      <c r="B346" t="s">
        <v>8001</v>
      </c>
      <c r="C346" t="s">
        <v>8100</v>
      </c>
      <c r="D346">
        <v>60</v>
      </c>
    </row>
    <row r="347" spans="1:4" x14ac:dyDescent="0.55000000000000004">
      <c r="A347" t="s">
        <v>7982</v>
      </c>
      <c r="B347" t="s">
        <v>8169</v>
      </c>
      <c r="C347" t="s">
        <v>8077</v>
      </c>
      <c r="D347">
        <v>61</v>
      </c>
    </row>
    <row r="348" spans="1:4" x14ac:dyDescent="0.55000000000000004">
      <c r="A348" t="s">
        <v>7983</v>
      </c>
      <c r="B348" t="s">
        <v>8169</v>
      </c>
      <c r="C348" t="s">
        <v>8077</v>
      </c>
      <c r="D348">
        <v>61</v>
      </c>
    </row>
    <row r="349" spans="1:4" x14ac:dyDescent="0.55000000000000004">
      <c r="A349" t="s">
        <v>7951</v>
      </c>
      <c r="B349" t="s">
        <v>8014</v>
      </c>
      <c r="C349" t="s">
        <v>8037</v>
      </c>
      <c r="D349">
        <v>62</v>
      </c>
    </row>
    <row r="350" spans="1:4" x14ac:dyDescent="0.55000000000000004">
      <c r="A350" t="s">
        <v>7952</v>
      </c>
      <c r="B350" t="s">
        <v>8014</v>
      </c>
      <c r="C350" t="s">
        <v>8037</v>
      </c>
      <c r="D350">
        <v>62</v>
      </c>
    </row>
    <row r="351" spans="1:4" x14ac:dyDescent="0.55000000000000004">
      <c r="A351" t="s">
        <v>7953</v>
      </c>
      <c r="B351" t="s">
        <v>8014</v>
      </c>
      <c r="C351" t="s">
        <v>8037</v>
      </c>
      <c r="D351">
        <v>62</v>
      </c>
    </row>
    <row r="352" spans="1:4" x14ac:dyDescent="0.55000000000000004">
      <c r="A352" t="s">
        <v>7954</v>
      </c>
      <c r="B352" t="s">
        <v>8014</v>
      </c>
      <c r="C352" t="s">
        <v>8037</v>
      </c>
      <c r="D352">
        <v>62</v>
      </c>
    </row>
    <row r="353" spans="1:4" x14ac:dyDescent="0.55000000000000004">
      <c r="A353" t="s">
        <v>7955</v>
      </c>
      <c r="B353" t="s">
        <v>8014</v>
      </c>
      <c r="C353" t="s">
        <v>8037</v>
      </c>
      <c r="D353">
        <v>62</v>
      </c>
    </row>
    <row r="354" spans="1:4" x14ac:dyDescent="0.55000000000000004">
      <c r="A354" t="s">
        <v>7956</v>
      </c>
      <c r="B354" t="s">
        <v>8014</v>
      </c>
      <c r="C354" t="s">
        <v>8037</v>
      </c>
      <c r="D354">
        <v>62</v>
      </c>
    </row>
    <row r="355" spans="1:4" x14ac:dyDescent="0.55000000000000004">
      <c r="A355" t="s">
        <v>7942</v>
      </c>
      <c r="B355" t="s">
        <v>8014</v>
      </c>
      <c r="C355" t="s">
        <v>8037</v>
      </c>
      <c r="D355">
        <v>62</v>
      </c>
    </row>
    <row r="356" spans="1:4" x14ac:dyDescent="0.55000000000000004">
      <c r="A356" t="s">
        <v>7946</v>
      </c>
      <c r="B356" t="s">
        <v>8014</v>
      </c>
      <c r="C356" t="s">
        <v>8037</v>
      </c>
      <c r="D356">
        <v>62</v>
      </c>
    </row>
    <row r="357" spans="1:4" x14ac:dyDescent="0.55000000000000004">
      <c r="A357" t="s">
        <v>7947</v>
      </c>
      <c r="B357" t="s">
        <v>8014</v>
      </c>
      <c r="C357" t="s">
        <v>8037</v>
      </c>
      <c r="D357">
        <v>62</v>
      </c>
    </row>
    <row r="358" spans="1:4" x14ac:dyDescent="0.55000000000000004">
      <c r="A358" t="s">
        <v>7943</v>
      </c>
      <c r="B358" t="s">
        <v>8058</v>
      </c>
      <c r="C358" t="s">
        <v>8037</v>
      </c>
      <c r="D358">
        <v>62</v>
      </c>
    </row>
    <row r="359" spans="1:4" x14ac:dyDescent="0.55000000000000004">
      <c r="A359" t="s">
        <v>7944</v>
      </c>
      <c r="B359" t="s">
        <v>8058</v>
      </c>
      <c r="C359" t="s">
        <v>8037</v>
      </c>
      <c r="D359">
        <v>62</v>
      </c>
    </row>
    <row r="360" spans="1:4" x14ac:dyDescent="0.55000000000000004">
      <c r="A360" t="s">
        <v>7945</v>
      </c>
      <c r="B360" t="s">
        <v>8058</v>
      </c>
      <c r="C360" t="s">
        <v>8037</v>
      </c>
      <c r="D360">
        <v>62</v>
      </c>
    </row>
    <row r="361" spans="1:4" x14ac:dyDescent="0.55000000000000004">
      <c r="A361" t="s">
        <v>7948</v>
      </c>
      <c r="B361" t="s">
        <v>8169</v>
      </c>
      <c r="C361" t="s">
        <v>8037</v>
      </c>
      <c r="D361">
        <v>62</v>
      </c>
    </row>
    <row r="362" spans="1:4" x14ac:dyDescent="0.55000000000000004">
      <c r="A362" t="s">
        <v>7949</v>
      </c>
      <c r="B362" t="s">
        <v>8169</v>
      </c>
      <c r="C362" t="s">
        <v>8037</v>
      </c>
      <c r="D362">
        <v>62</v>
      </c>
    </row>
    <row r="363" spans="1:4" x14ac:dyDescent="0.55000000000000004">
      <c r="A363" t="s">
        <v>7950</v>
      </c>
      <c r="B363" t="s">
        <v>8169</v>
      </c>
      <c r="C363" t="s">
        <v>8037</v>
      </c>
      <c r="D363">
        <v>62</v>
      </c>
    </row>
    <row r="364" spans="1:4" x14ac:dyDescent="0.55000000000000004">
      <c r="A364" t="s">
        <v>7984</v>
      </c>
      <c r="B364" t="s">
        <v>8162</v>
      </c>
      <c r="C364" t="s">
        <v>8037</v>
      </c>
      <c r="D364">
        <v>62</v>
      </c>
    </row>
    <row r="365" spans="1:4" x14ac:dyDescent="0.55000000000000004">
      <c r="A365" t="s">
        <v>7970</v>
      </c>
      <c r="B365" t="s">
        <v>8059</v>
      </c>
      <c r="C365" t="s">
        <v>8121</v>
      </c>
      <c r="D365">
        <v>63</v>
      </c>
    </row>
    <row r="366" spans="1:4" x14ac:dyDescent="0.55000000000000004">
      <c r="A366" t="s">
        <v>7985</v>
      </c>
      <c r="B366" t="s">
        <v>8008</v>
      </c>
      <c r="C366" t="s">
        <v>8103</v>
      </c>
      <c r="D366">
        <v>64</v>
      </c>
    </row>
    <row r="367" spans="1:4" x14ac:dyDescent="0.55000000000000004">
      <c r="A367" t="s">
        <v>7986</v>
      </c>
      <c r="B367" t="s">
        <v>8008</v>
      </c>
      <c r="C367" t="s">
        <v>8103</v>
      </c>
      <c r="D367">
        <v>64</v>
      </c>
    </row>
    <row r="368" spans="1:4" x14ac:dyDescent="0.55000000000000004">
      <c r="A368" t="s">
        <v>7987</v>
      </c>
      <c r="B368" t="s">
        <v>8008</v>
      </c>
      <c r="C368" t="s">
        <v>8103</v>
      </c>
      <c r="D368">
        <v>64</v>
      </c>
    </row>
    <row r="369" spans="1:4" x14ac:dyDescent="0.55000000000000004">
      <c r="A369" t="s">
        <v>7958</v>
      </c>
      <c r="B369" t="s">
        <v>8008</v>
      </c>
      <c r="C369" t="s">
        <v>8103</v>
      </c>
      <c r="D369">
        <v>64</v>
      </c>
    </row>
    <row r="370" spans="1:4" x14ac:dyDescent="0.55000000000000004">
      <c r="A370" t="s">
        <v>7959</v>
      </c>
      <c r="B370" t="s">
        <v>8008</v>
      </c>
      <c r="C370" t="s">
        <v>8103</v>
      </c>
      <c r="D370">
        <v>64</v>
      </c>
    </row>
    <row r="371" spans="1:4" x14ac:dyDescent="0.55000000000000004">
      <c r="A371" t="s">
        <v>7960</v>
      </c>
      <c r="B371" t="s">
        <v>8008</v>
      </c>
      <c r="C371" t="s">
        <v>8103</v>
      </c>
      <c r="D371">
        <v>64</v>
      </c>
    </row>
    <row r="372" spans="1:4" x14ac:dyDescent="0.55000000000000004">
      <c r="A372" t="s">
        <v>7943</v>
      </c>
      <c r="B372" t="s">
        <v>8060</v>
      </c>
      <c r="C372" t="s">
        <v>8045</v>
      </c>
      <c r="D372">
        <v>65</v>
      </c>
    </row>
    <row r="373" spans="1:4" x14ac:dyDescent="0.55000000000000004">
      <c r="A373" t="s">
        <v>7944</v>
      </c>
      <c r="B373" t="s">
        <v>8060</v>
      </c>
      <c r="C373" t="s">
        <v>8045</v>
      </c>
      <c r="D373">
        <v>65</v>
      </c>
    </row>
    <row r="374" spans="1:4" x14ac:dyDescent="0.55000000000000004">
      <c r="A374" t="s">
        <v>7945</v>
      </c>
      <c r="B374" t="s">
        <v>8060</v>
      </c>
      <c r="C374" t="s">
        <v>8045</v>
      </c>
      <c r="D374">
        <v>65</v>
      </c>
    </row>
    <row r="375" spans="1:4" x14ac:dyDescent="0.55000000000000004">
      <c r="A375" t="s">
        <v>7948</v>
      </c>
      <c r="B375" t="s">
        <v>8170</v>
      </c>
      <c r="C375" t="s">
        <v>8045</v>
      </c>
      <c r="D375">
        <v>65</v>
      </c>
    </row>
    <row r="376" spans="1:4" x14ac:dyDescent="0.55000000000000004">
      <c r="A376" t="s">
        <v>7949</v>
      </c>
      <c r="B376" t="s">
        <v>8170</v>
      </c>
      <c r="C376" t="s">
        <v>8045</v>
      </c>
      <c r="D376">
        <v>65</v>
      </c>
    </row>
    <row r="377" spans="1:4" x14ac:dyDescent="0.55000000000000004">
      <c r="A377" t="s">
        <v>7950</v>
      </c>
      <c r="B377" t="s">
        <v>8170</v>
      </c>
      <c r="C377" t="s">
        <v>8045</v>
      </c>
      <c r="D377">
        <v>65</v>
      </c>
    </row>
    <row r="378" spans="1:4" x14ac:dyDescent="0.55000000000000004">
      <c r="A378" t="s">
        <v>7957</v>
      </c>
      <c r="B378" t="s">
        <v>8008</v>
      </c>
      <c r="C378" t="s">
        <v>8045</v>
      </c>
      <c r="D378">
        <v>65</v>
      </c>
    </row>
    <row r="379" spans="1:4" x14ac:dyDescent="0.55000000000000004">
      <c r="A379" t="s">
        <v>7984</v>
      </c>
      <c r="B379" t="s">
        <v>8164</v>
      </c>
      <c r="C379" t="s">
        <v>8045</v>
      </c>
      <c r="D379">
        <v>65</v>
      </c>
    </row>
    <row r="380" spans="1:4" x14ac:dyDescent="0.55000000000000004">
      <c r="A380" t="s">
        <v>7967</v>
      </c>
      <c r="B380" t="s">
        <v>8006</v>
      </c>
      <c r="C380" t="s">
        <v>8149</v>
      </c>
      <c r="D380">
        <v>66</v>
      </c>
    </row>
    <row r="381" spans="1:4" x14ac:dyDescent="0.55000000000000004">
      <c r="A381" t="s">
        <v>7968</v>
      </c>
      <c r="B381" t="s">
        <v>8006</v>
      </c>
      <c r="C381" t="s">
        <v>8149</v>
      </c>
      <c r="D381">
        <v>66</v>
      </c>
    </row>
    <row r="382" spans="1:4" x14ac:dyDescent="0.55000000000000004">
      <c r="A382" t="s">
        <v>7969</v>
      </c>
      <c r="B382" t="s">
        <v>8006</v>
      </c>
      <c r="C382" t="s">
        <v>8149</v>
      </c>
      <c r="D382">
        <v>66</v>
      </c>
    </row>
    <row r="383" spans="1:4" x14ac:dyDescent="0.55000000000000004">
      <c r="A383" t="s">
        <v>7964</v>
      </c>
      <c r="B383" t="s">
        <v>8006</v>
      </c>
      <c r="C383" t="s">
        <v>8149</v>
      </c>
      <c r="D383">
        <v>66</v>
      </c>
    </row>
    <row r="384" spans="1:4" x14ac:dyDescent="0.55000000000000004">
      <c r="A384" t="s">
        <v>7965</v>
      </c>
      <c r="B384" t="s">
        <v>8006</v>
      </c>
      <c r="C384" t="s">
        <v>8149</v>
      </c>
      <c r="D384">
        <v>66</v>
      </c>
    </row>
    <row r="385" spans="1:4" x14ac:dyDescent="0.55000000000000004">
      <c r="A385" t="s">
        <v>7966</v>
      </c>
      <c r="B385" t="s">
        <v>8006</v>
      </c>
      <c r="C385" t="s">
        <v>8149</v>
      </c>
      <c r="D385">
        <v>66</v>
      </c>
    </row>
    <row r="386" spans="1:4" x14ac:dyDescent="0.55000000000000004">
      <c r="A386" t="s">
        <v>7982</v>
      </c>
      <c r="B386" t="s">
        <v>8017</v>
      </c>
      <c r="C386" t="s">
        <v>8096</v>
      </c>
      <c r="D386">
        <v>67</v>
      </c>
    </row>
    <row r="387" spans="1:4" x14ac:dyDescent="0.55000000000000004">
      <c r="A387" t="s">
        <v>7983</v>
      </c>
      <c r="B387" t="s">
        <v>8017</v>
      </c>
      <c r="C387" t="s">
        <v>8096</v>
      </c>
      <c r="D387">
        <v>67</v>
      </c>
    </row>
    <row r="388" spans="1:4" x14ac:dyDescent="0.55000000000000004">
      <c r="A388" t="s">
        <v>7970</v>
      </c>
      <c r="B388" t="s">
        <v>8061</v>
      </c>
      <c r="C388" t="s">
        <v>8096</v>
      </c>
      <c r="D388">
        <v>67</v>
      </c>
    </row>
    <row r="389" spans="1:4" x14ac:dyDescent="0.55000000000000004">
      <c r="A389" t="s">
        <v>7943</v>
      </c>
      <c r="B389" t="s">
        <v>8061</v>
      </c>
      <c r="C389" t="s">
        <v>8096</v>
      </c>
      <c r="D389">
        <v>67</v>
      </c>
    </row>
    <row r="390" spans="1:4" x14ac:dyDescent="0.55000000000000004">
      <c r="A390" t="s">
        <v>7944</v>
      </c>
      <c r="B390" t="s">
        <v>8061</v>
      </c>
      <c r="C390" t="s">
        <v>8096</v>
      </c>
      <c r="D390">
        <v>67</v>
      </c>
    </row>
    <row r="391" spans="1:4" x14ac:dyDescent="0.55000000000000004">
      <c r="A391" t="s">
        <v>7945</v>
      </c>
      <c r="B391" t="s">
        <v>8061</v>
      </c>
      <c r="C391" t="s">
        <v>8096</v>
      </c>
      <c r="D391">
        <v>67</v>
      </c>
    </row>
    <row r="392" spans="1:4" x14ac:dyDescent="0.55000000000000004">
      <c r="A392" t="s">
        <v>7961</v>
      </c>
      <c r="B392" t="s">
        <v>7994</v>
      </c>
      <c r="C392" t="s">
        <v>8096</v>
      </c>
      <c r="D392">
        <v>67</v>
      </c>
    </row>
    <row r="393" spans="1:4" x14ac:dyDescent="0.55000000000000004">
      <c r="A393" t="s">
        <v>7962</v>
      </c>
      <c r="B393" t="s">
        <v>7994</v>
      </c>
      <c r="C393" t="s">
        <v>8096</v>
      </c>
      <c r="D393">
        <v>67</v>
      </c>
    </row>
    <row r="394" spans="1:4" x14ac:dyDescent="0.55000000000000004">
      <c r="A394" t="s">
        <v>7963</v>
      </c>
      <c r="B394" t="s">
        <v>7994</v>
      </c>
      <c r="C394" t="s">
        <v>8096</v>
      </c>
      <c r="D394">
        <v>67</v>
      </c>
    </row>
    <row r="395" spans="1:4" x14ac:dyDescent="0.55000000000000004">
      <c r="A395" t="s">
        <v>7967</v>
      </c>
      <c r="B395" t="s">
        <v>8008</v>
      </c>
      <c r="C395" t="s">
        <v>8096</v>
      </c>
      <c r="D395">
        <v>67</v>
      </c>
    </row>
    <row r="396" spans="1:4" x14ac:dyDescent="0.55000000000000004">
      <c r="A396" t="s">
        <v>7968</v>
      </c>
      <c r="B396" t="s">
        <v>8008</v>
      </c>
      <c r="C396" t="s">
        <v>8096</v>
      </c>
      <c r="D396">
        <v>67</v>
      </c>
    </row>
    <row r="397" spans="1:4" x14ac:dyDescent="0.55000000000000004">
      <c r="A397" t="s">
        <v>7969</v>
      </c>
      <c r="B397" t="s">
        <v>8008</v>
      </c>
      <c r="C397" t="s">
        <v>8096</v>
      </c>
      <c r="D397">
        <v>67</v>
      </c>
    </row>
    <row r="398" spans="1:4" x14ac:dyDescent="0.55000000000000004">
      <c r="A398" t="s">
        <v>7964</v>
      </c>
      <c r="B398" t="s">
        <v>8008</v>
      </c>
      <c r="C398" t="s">
        <v>8096</v>
      </c>
      <c r="D398">
        <v>67</v>
      </c>
    </row>
    <row r="399" spans="1:4" x14ac:dyDescent="0.55000000000000004">
      <c r="A399" t="s">
        <v>7965</v>
      </c>
      <c r="B399" t="s">
        <v>8008</v>
      </c>
      <c r="C399" t="s">
        <v>8096</v>
      </c>
      <c r="D399">
        <v>67</v>
      </c>
    </row>
    <row r="400" spans="1:4" x14ac:dyDescent="0.55000000000000004">
      <c r="A400" t="s">
        <v>7966</v>
      </c>
      <c r="B400" t="s">
        <v>8008</v>
      </c>
      <c r="C400" t="s">
        <v>8096</v>
      </c>
      <c r="D400">
        <v>67</v>
      </c>
    </row>
    <row r="401" spans="1:4" x14ac:dyDescent="0.55000000000000004">
      <c r="A401" t="s">
        <v>7948</v>
      </c>
      <c r="B401" t="s">
        <v>7994</v>
      </c>
      <c r="C401" t="s">
        <v>8145</v>
      </c>
      <c r="D401">
        <v>68</v>
      </c>
    </row>
    <row r="402" spans="1:4" x14ac:dyDescent="0.55000000000000004">
      <c r="A402" t="s">
        <v>7949</v>
      </c>
      <c r="B402" t="s">
        <v>7994</v>
      </c>
      <c r="C402" t="s">
        <v>8145</v>
      </c>
      <c r="D402">
        <v>68</v>
      </c>
    </row>
    <row r="403" spans="1:4" x14ac:dyDescent="0.55000000000000004">
      <c r="A403" t="s">
        <v>7950</v>
      </c>
      <c r="B403" t="s">
        <v>7994</v>
      </c>
      <c r="C403" t="s">
        <v>8145</v>
      </c>
      <c r="D403">
        <v>68</v>
      </c>
    </row>
    <row r="404" spans="1:4" x14ac:dyDescent="0.55000000000000004">
      <c r="A404" t="s">
        <v>7970</v>
      </c>
      <c r="B404" t="s">
        <v>8062</v>
      </c>
      <c r="C404" t="s">
        <v>8122</v>
      </c>
      <c r="D404">
        <v>69</v>
      </c>
    </row>
    <row r="405" spans="1:4" x14ac:dyDescent="0.55000000000000004">
      <c r="A405" t="s">
        <v>7985</v>
      </c>
      <c r="B405" t="s">
        <v>8010</v>
      </c>
      <c r="C405" t="s">
        <v>8152</v>
      </c>
      <c r="D405">
        <v>70</v>
      </c>
    </row>
    <row r="406" spans="1:4" x14ac:dyDescent="0.55000000000000004">
      <c r="A406" t="s">
        <v>7986</v>
      </c>
      <c r="B406" t="s">
        <v>8010</v>
      </c>
      <c r="C406" t="s">
        <v>8152</v>
      </c>
      <c r="D406">
        <v>70</v>
      </c>
    </row>
    <row r="407" spans="1:4" x14ac:dyDescent="0.55000000000000004">
      <c r="A407" t="s">
        <v>7987</v>
      </c>
      <c r="B407" t="s">
        <v>8010</v>
      </c>
      <c r="C407" t="s">
        <v>8152</v>
      </c>
      <c r="D407">
        <v>70</v>
      </c>
    </row>
    <row r="408" spans="1:4" x14ac:dyDescent="0.55000000000000004">
      <c r="A408" t="s">
        <v>7958</v>
      </c>
      <c r="B408" t="s">
        <v>8010</v>
      </c>
      <c r="C408" t="s">
        <v>8152</v>
      </c>
      <c r="D408">
        <v>70</v>
      </c>
    </row>
    <row r="409" spans="1:4" x14ac:dyDescent="0.55000000000000004">
      <c r="A409" t="s">
        <v>7959</v>
      </c>
      <c r="B409" t="s">
        <v>8010</v>
      </c>
      <c r="C409" t="s">
        <v>8152</v>
      </c>
      <c r="D409">
        <v>70</v>
      </c>
    </row>
    <row r="410" spans="1:4" x14ac:dyDescent="0.55000000000000004">
      <c r="A410" t="s">
        <v>7960</v>
      </c>
      <c r="B410" t="s">
        <v>8010</v>
      </c>
      <c r="C410" t="s">
        <v>8152</v>
      </c>
      <c r="D410">
        <v>70</v>
      </c>
    </row>
    <row r="411" spans="1:4" x14ac:dyDescent="0.55000000000000004">
      <c r="A411" t="s">
        <v>7970</v>
      </c>
      <c r="B411" t="s">
        <v>8063</v>
      </c>
      <c r="C411" t="s">
        <v>8123</v>
      </c>
      <c r="D411">
        <v>71</v>
      </c>
    </row>
    <row r="412" spans="1:4" x14ac:dyDescent="0.55000000000000004">
      <c r="A412" t="s">
        <v>7985</v>
      </c>
      <c r="B412" t="s">
        <v>8092</v>
      </c>
      <c r="C412" t="s">
        <v>135</v>
      </c>
      <c r="D412">
        <v>72</v>
      </c>
    </row>
    <row r="413" spans="1:4" x14ac:dyDescent="0.55000000000000004">
      <c r="A413" t="s">
        <v>7986</v>
      </c>
      <c r="B413" t="s">
        <v>8092</v>
      </c>
      <c r="C413" t="s">
        <v>135</v>
      </c>
      <c r="D413">
        <v>72</v>
      </c>
    </row>
    <row r="414" spans="1:4" x14ac:dyDescent="0.55000000000000004">
      <c r="A414" t="s">
        <v>7987</v>
      </c>
      <c r="B414" t="s">
        <v>8092</v>
      </c>
      <c r="C414" t="s">
        <v>135</v>
      </c>
      <c r="D414">
        <v>72</v>
      </c>
    </row>
    <row r="415" spans="1:4" x14ac:dyDescent="0.55000000000000004">
      <c r="A415" t="s">
        <v>7951</v>
      </c>
      <c r="B415" t="s">
        <v>8092</v>
      </c>
      <c r="C415" t="s">
        <v>135</v>
      </c>
      <c r="D415">
        <v>72</v>
      </c>
    </row>
    <row r="416" spans="1:4" x14ac:dyDescent="0.55000000000000004">
      <c r="A416" t="s">
        <v>7952</v>
      </c>
      <c r="B416" t="s">
        <v>8092</v>
      </c>
      <c r="C416" t="s">
        <v>135</v>
      </c>
      <c r="D416">
        <v>72</v>
      </c>
    </row>
    <row r="417" spans="1:4" x14ac:dyDescent="0.55000000000000004">
      <c r="A417" t="s">
        <v>7953</v>
      </c>
      <c r="B417" t="s">
        <v>8092</v>
      </c>
      <c r="C417" t="s">
        <v>135</v>
      </c>
      <c r="D417">
        <v>72</v>
      </c>
    </row>
    <row r="418" spans="1:4" x14ac:dyDescent="0.55000000000000004">
      <c r="A418" t="s">
        <v>7954</v>
      </c>
      <c r="B418" t="s">
        <v>8092</v>
      </c>
      <c r="C418" t="s">
        <v>135</v>
      </c>
      <c r="D418">
        <v>72</v>
      </c>
    </row>
    <row r="419" spans="1:4" x14ac:dyDescent="0.55000000000000004">
      <c r="A419" t="s">
        <v>7955</v>
      </c>
      <c r="B419" t="s">
        <v>8092</v>
      </c>
      <c r="C419" t="s">
        <v>135</v>
      </c>
      <c r="D419">
        <v>72</v>
      </c>
    </row>
    <row r="420" spans="1:4" x14ac:dyDescent="0.55000000000000004">
      <c r="A420" t="s">
        <v>7956</v>
      </c>
      <c r="B420" t="s">
        <v>8092</v>
      </c>
      <c r="C420" t="s">
        <v>135</v>
      </c>
      <c r="D420">
        <v>72</v>
      </c>
    </row>
    <row r="421" spans="1:4" x14ac:dyDescent="0.55000000000000004">
      <c r="A421" t="s">
        <v>7982</v>
      </c>
      <c r="B421" t="s">
        <v>8092</v>
      </c>
      <c r="C421" t="s">
        <v>135</v>
      </c>
      <c r="D421">
        <v>72</v>
      </c>
    </row>
    <row r="422" spans="1:4" x14ac:dyDescent="0.55000000000000004">
      <c r="A422" t="s">
        <v>7983</v>
      </c>
      <c r="B422" t="s">
        <v>8092</v>
      </c>
      <c r="C422" t="s">
        <v>135</v>
      </c>
      <c r="D422">
        <v>72</v>
      </c>
    </row>
    <row r="423" spans="1:4" x14ac:dyDescent="0.55000000000000004">
      <c r="A423" t="s">
        <v>7942</v>
      </c>
      <c r="B423" t="s">
        <v>8092</v>
      </c>
      <c r="C423" t="s">
        <v>135</v>
      </c>
      <c r="D423">
        <v>72</v>
      </c>
    </row>
    <row r="424" spans="1:4" x14ac:dyDescent="0.55000000000000004">
      <c r="A424" t="s">
        <v>7946</v>
      </c>
      <c r="B424" t="s">
        <v>8092</v>
      </c>
      <c r="C424" t="s">
        <v>135</v>
      </c>
      <c r="D424">
        <v>72</v>
      </c>
    </row>
    <row r="425" spans="1:4" x14ac:dyDescent="0.55000000000000004">
      <c r="A425" t="s">
        <v>7947</v>
      </c>
      <c r="B425" t="s">
        <v>8092</v>
      </c>
      <c r="C425" t="s">
        <v>135</v>
      </c>
      <c r="D425">
        <v>72</v>
      </c>
    </row>
    <row r="426" spans="1:4" x14ac:dyDescent="0.55000000000000004">
      <c r="A426" t="s">
        <v>7970</v>
      </c>
      <c r="B426" t="s">
        <v>8092</v>
      </c>
      <c r="C426" t="s">
        <v>135</v>
      </c>
      <c r="D426">
        <v>72</v>
      </c>
    </row>
    <row r="427" spans="1:4" x14ac:dyDescent="0.55000000000000004">
      <c r="A427" t="s">
        <v>7943</v>
      </c>
      <c r="B427" t="s">
        <v>8092</v>
      </c>
      <c r="C427" t="s">
        <v>135</v>
      </c>
      <c r="D427">
        <v>72</v>
      </c>
    </row>
    <row r="428" spans="1:4" x14ac:dyDescent="0.55000000000000004">
      <c r="A428" t="s">
        <v>7944</v>
      </c>
      <c r="B428" t="s">
        <v>8092</v>
      </c>
      <c r="C428" t="s">
        <v>135</v>
      </c>
      <c r="D428">
        <v>72</v>
      </c>
    </row>
    <row r="429" spans="1:4" x14ac:dyDescent="0.55000000000000004">
      <c r="A429" t="s">
        <v>7945</v>
      </c>
      <c r="B429" t="s">
        <v>8092</v>
      </c>
      <c r="C429" t="s">
        <v>135</v>
      </c>
      <c r="D429">
        <v>72</v>
      </c>
    </row>
    <row r="430" spans="1:4" x14ac:dyDescent="0.55000000000000004">
      <c r="A430" t="s">
        <v>7961</v>
      </c>
      <c r="B430" t="s">
        <v>8092</v>
      </c>
      <c r="C430" t="s">
        <v>135</v>
      </c>
      <c r="D430">
        <v>72</v>
      </c>
    </row>
    <row r="431" spans="1:4" x14ac:dyDescent="0.55000000000000004">
      <c r="A431" t="s">
        <v>7962</v>
      </c>
      <c r="B431" t="s">
        <v>8092</v>
      </c>
      <c r="C431" t="s">
        <v>135</v>
      </c>
      <c r="D431">
        <v>72</v>
      </c>
    </row>
    <row r="432" spans="1:4" x14ac:dyDescent="0.55000000000000004">
      <c r="A432" t="s">
        <v>7963</v>
      </c>
      <c r="B432" t="s">
        <v>8092</v>
      </c>
      <c r="C432" t="s">
        <v>135</v>
      </c>
      <c r="D432">
        <v>72</v>
      </c>
    </row>
    <row r="433" spans="1:4" x14ac:dyDescent="0.55000000000000004">
      <c r="A433" t="s">
        <v>7967</v>
      </c>
      <c r="B433" t="s">
        <v>8092</v>
      </c>
      <c r="C433" t="s">
        <v>135</v>
      </c>
      <c r="D433">
        <v>72</v>
      </c>
    </row>
    <row r="434" spans="1:4" x14ac:dyDescent="0.55000000000000004">
      <c r="A434" t="s">
        <v>7968</v>
      </c>
      <c r="B434" t="s">
        <v>8092</v>
      </c>
      <c r="C434" t="s">
        <v>135</v>
      </c>
      <c r="D434">
        <v>72</v>
      </c>
    </row>
    <row r="435" spans="1:4" x14ac:dyDescent="0.55000000000000004">
      <c r="A435" t="s">
        <v>7969</v>
      </c>
      <c r="B435" t="s">
        <v>8092</v>
      </c>
      <c r="C435" t="s">
        <v>135</v>
      </c>
      <c r="D435">
        <v>72</v>
      </c>
    </row>
    <row r="436" spans="1:4" x14ac:dyDescent="0.55000000000000004">
      <c r="A436" t="s">
        <v>7948</v>
      </c>
      <c r="B436" t="s">
        <v>8092</v>
      </c>
      <c r="C436" t="s">
        <v>135</v>
      </c>
      <c r="D436">
        <v>72</v>
      </c>
    </row>
    <row r="437" spans="1:4" x14ac:dyDescent="0.55000000000000004">
      <c r="A437" t="s">
        <v>7949</v>
      </c>
      <c r="B437" t="s">
        <v>8092</v>
      </c>
      <c r="C437" t="s">
        <v>135</v>
      </c>
      <c r="D437">
        <v>72</v>
      </c>
    </row>
    <row r="438" spans="1:4" x14ac:dyDescent="0.55000000000000004">
      <c r="A438" t="s">
        <v>7950</v>
      </c>
      <c r="B438" t="s">
        <v>8092</v>
      </c>
      <c r="C438" t="s">
        <v>135</v>
      </c>
      <c r="D438">
        <v>72</v>
      </c>
    </row>
    <row r="439" spans="1:4" x14ac:dyDescent="0.55000000000000004">
      <c r="A439" t="s">
        <v>7964</v>
      </c>
      <c r="B439" t="s">
        <v>8092</v>
      </c>
      <c r="C439" t="s">
        <v>135</v>
      </c>
      <c r="D439">
        <v>72</v>
      </c>
    </row>
    <row r="440" spans="1:4" x14ac:dyDescent="0.55000000000000004">
      <c r="A440" t="s">
        <v>7965</v>
      </c>
      <c r="B440" t="s">
        <v>8092</v>
      </c>
      <c r="C440" t="s">
        <v>135</v>
      </c>
      <c r="D440">
        <v>72</v>
      </c>
    </row>
    <row r="441" spans="1:4" x14ac:dyDescent="0.55000000000000004">
      <c r="A441" t="s">
        <v>7966</v>
      </c>
      <c r="B441" t="s">
        <v>8092</v>
      </c>
      <c r="C441" t="s">
        <v>135</v>
      </c>
      <c r="D441">
        <v>72</v>
      </c>
    </row>
    <row r="442" spans="1:4" x14ac:dyDescent="0.55000000000000004">
      <c r="A442" t="s">
        <v>7957</v>
      </c>
      <c r="B442" t="s">
        <v>8092</v>
      </c>
      <c r="C442" t="s">
        <v>135</v>
      </c>
      <c r="D442">
        <v>72</v>
      </c>
    </row>
    <row r="443" spans="1:4" x14ac:dyDescent="0.55000000000000004">
      <c r="A443" t="s">
        <v>7958</v>
      </c>
      <c r="B443" t="s">
        <v>8092</v>
      </c>
      <c r="C443" t="s">
        <v>135</v>
      </c>
      <c r="D443">
        <v>72</v>
      </c>
    </row>
    <row r="444" spans="1:4" x14ac:dyDescent="0.55000000000000004">
      <c r="A444" t="s">
        <v>7959</v>
      </c>
      <c r="B444" t="s">
        <v>8092</v>
      </c>
      <c r="C444" t="s">
        <v>135</v>
      </c>
      <c r="D444">
        <v>72</v>
      </c>
    </row>
    <row r="445" spans="1:4" x14ac:dyDescent="0.55000000000000004">
      <c r="A445" t="s">
        <v>7960</v>
      </c>
      <c r="B445" t="s">
        <v>8092</v>
      </c>
      <c r="C445" t="s">
        <v>135</v>
      </c>
      <c r="D445">
        <v>72</v>
      </c>
    </row>
    <row r="446" spans="1:4" x14ac:dyDescent="0.55000000000000004">
      <c r="A446" t="s">
        <v>7984</v>
      </c>
      <c r="B446" t="s">
        <v>8092</v>
      </c>
      <c r="C446" t="s">
        <v>135</v>
      </c>
      <c r="D446">
        <v>72</v>
      </c>
    </row>
    <row r="447" spans="1:4" x14ac:dyDescent="0.55000000000000004">
      <c r="A447" t="s">
        <v>7970</v>
      </c>
      <c r="B447" t="s">
        <v>8069</v>
      </c>
      <c r="C447" t="s">
        <v>8124</v>
      </c>
      <c r="D447">
        <v>73</v>
      </c>
    </row>
    <row r="448" spans="1:4" x14ac:dyDescent="0.55000000000000004">
      <c r="A448" t="s">
        <v>7951</v>
      </c>
      <c r="B448" t="s">
        <v>8167</v>
      </c>
      <c r="C448" t="s">
        <v>8066</v>
      </c>
      <c r="D448">
        <v>74</v>
      </c>
    </row>
    <row r="449" spans="1:4" x14ac:dyDescent="0.55000000000000004">
      <c r="A449" t="s">
        <v>7952</v>
      </c>
      <c r="B449" t="s">
        <v>8167</v>
      </c>
      <c r="C449" t="s">
        <v>8066</v>
      </c>
      <c r="D449">
        <v>74</v>
      </c>
    </row>
    <row r="450" spans="1:4" x14ac:dyDescent="0.55000000000000004">
      <c r="A450" t="s">
        <v>7953</v>
      </c>
      <c r="B450" t="s">
        <v>8167</v>
      </c>
      <c r="C450" t="s">
        <v>8066</v>
      </c>
      <c r="D450">
        <v>74</v>
      </c>
    </row>
    <row r="451" spans="1:4" x14ac:dyDescent="0.55000000000000004">
      <c r="A451" t="s">
        <v>7954</v>
      </c>
      <c r="B451" t="s">
        <v>8167</v>
      </c>
      <c r="C451" t="s">
        <v>8066</v>
      </c>
      <c r="D451">
        <v>74</v>
      </c>
    </row>
    <row r="452" spans="1:4" x14ac:dyDescent="0.55000000000000004">
      <c r="A452" t="s">
        <v>7955</v>
      </c>
      <c r="B452" t="s">
        <v>8167</v>
      </c>
      <c r="C452" t="s">
        <v>8066</v>
      </c>
      <c r="D452">
        <v>74</v>
      </c>
    </row>
    <row r="453" spans="1:4" x14ac:dyDescent="0.55000000000000004">
      <c r="A453" t="s">
        <v>7956</v>
      </c>
      <c r="B453" t="s">
        <v>8167</v>
      </c>
      <c r="C453" t="s">
        <v>8066</v>
      </c>
      <c r="D453">
        <v>74</v>
      </c>
    </row>
    <row r="454" spans="1:4" x14ac:dyDescent="0.55000000000000004">
      <c r="A454" t="s">
        <v>7942</v>
      </c>
      <c r="B454" t="s">
        <v>8167</v>
      </c>
      <c r="C454" t="s">
        <v>8066</v>
      </c>
      <c r="D454">
        <v>74</v>
      </c>
    </row>
    <row r="455" spans="1:4" x14ac:dyDescent="0.55000000000000004">
      <c r="A455" t="s">
        <v>7946</v>
      </c>
      <c r="B455" t="s">
        <v>8167</v>
      </c>
      <c r="C455" t="s">
        <v>8066</v>
      </c>
      <c r="D455">
        <v>74</v>
      </c>
    </row>
    <row r="456" spans="1:4" x14ac:dyDescent="0.55000000000000004">
      <c r="A456" t="s">
        <v>7947</v>
      </c>
      <c r="B456" t="s">
        <v>8167</v>
      </c>
      <c r="C456" t="s">
        <v>8066</v>
      </c>
      <c r="D456">
        <v>74</v>
      </c>
    </row>
    <row r="457" spans="1:4" x14ac:dyDescent="0.55000000000000004">
      <c r="A457" t="s">
        <v>7961</v>
      </c>
      <c r="B457" t="s">
        <v>8001</v>
      </c>
      <c r="C457" t="s">
        <v>8066</v>
      </c>
      <c r="D457">
        <v>74</v>
      </c>
    </row>
    <row r="458" spans="1:4" x14ac:dyDescent="0.55000000000000004">
      <c r="A458" t="s">
        <v>7962</v>
      </c>
      <c r="B458" t="s">
        <v>8001</v>
      </c>
      <c r="C458" t="s">
        <v>8066</v>
      </c>
      <c r="D458">
        <v>74</v>
      </c>
    </row>
    <row r="459" spans="1:4" x14ac:dyDescent="0.55000000000000004">
      <c r="A459" t="s">
        <v>7963</v>
      </c>
      <c r="B459" t="s">
        <v>8001</v>
      </c>
      <c r="C459" t="s">
        <v>8066</v>
      </c>
      <c r="D459">
        <v>74</v>
      </c>
    </row>
    <row r="460" spans="1:4" x14ac:dyDescent="0.55000000000000004">
      <c r="A460" t="s">
        <v>7951</v>
      </c>
      <c r="B460" t="s">
        <v>8169</v>
      </c>
      <c r="C460" t="s">
        <v>3368</v>
      </c>
      <c r="D460">
        <v>75</v>
      </c>
    </row>
    <row r="461" spans="1:4" x14ac:dyDescent="0.55000000000000004">
      <c r="A461" t="s">
        <v>7952</v>
      </c>
      <c r="B461" t="s">
        <v>8169</v>
      </c>
      <c r="C461" t="s">
        <v>3368</v>
      </c>
      <c r="D461">
        <v>75</v>
      </c>
    </row>
    <row r="462" spans="1:4" x14ac:dyDescent="0.55000000000000004">
      <c r="A462" t="s">
        <v>7953</v>
      </c>
      <c r="B462" t="s">
        <v>8169</v>
      </c>
      <c r="C462" t="s">
        <v>3368</v>
      </c>
      <c r="D462">
        <v>75</v>
      </c>
    </row>
    <row r="463" spans="1:4" x14ac:dyDescent="0.55000000000000004">
      <c r="A463" t="s">
        <v>7954</v>
      </c>
      <c r="B463" t="s">
        <v>8169</v>
      </c>
      <c r="C463" t="s">
        <v>3368</v>
      </c>
      <c r="D463">
        <v>75</v>
      </c>
    </row>
    <row r="464" spans="1:4" x14ac:dyDescent="0.55000000000000004">
      <c r="A464" t="s">
        <v>7955</v>
      </c>
      <c r="B464" t="s">
        <v>8169</v>
      </c>
      <c r="C464" t="s">
        <v>3368</v>
      </c>
      <c r="D464">
        <v>75</v>
      </c>
    </row>
    <row r="465" spans="1:4" x14ac:dyDescent="0.55000000000000004">
      <c r="A465" t="s">
        <v>7956</v>
      </c>
      <c r="B465" t="s">
        <v>8169</v>
      </c>
      <c r="C465" t="s">
        <v>3368</v>
      </c>
      <c r="D465">
        <v>75</v>
      </c>
    </row>
    <row r="466" spans="1:4" x14ac:dyDescent="0.55000000000000004">
      <c r="A466" t="s">
        <v>7942</v>
      </c>
      <c r="B466" t="s">
        <v>8169</v>
      </c>
      <c r="C466" t="s">
        <v>3368</v>
      </c>
      <c r="D466">
        <v>75</v>
      </c>
    </row>
    <row r="467" spans="1:4" x14ac:dyDescent="0.55000000000000004">
      <c r="A467" t="s">
        <v>7946</v>
      </c>
      <c r="B467" t="s">
        <v>8169</v>
      </c>
      <c r="C467" t="s">
        <v>3368</v>
      </c>
      <c r="D467">
        <v>75</v>
      </c>
    </row>
    <row r="468" spans="1:4" x14ac:dyDescent="0.55000000000000004">
      <c r="A468" t="s">
        <v>7947</v>
      </c>
      <c r="B468" t="s">
        <v>8169</v>
      </c>
      <c r="C468" t="s">
        <v>3368</v>
      </c>
      <c r="D468">
        <v>75</v>
      </c>
    </row>
    <row r="469" spans="1:4" x14ac:dyDescent="0.55000000000000004">
      <c r="A469" t="s">
        <v>7970</v>
      </c>
      <c r="B469" t="s">
        <v>8070</v>
      </c>
      <c r="C469" t="s">
        <v>8125</v>
      </c>
      <c r="D469">
        <v>76</v>
      </c>
    </row>
    <row r="470" spans="1:4" x14ac:dyDescent="0.55000000000000004">
      <c r="A470" t="s">
        <v>7985</v>
      </c>
      <c r="B470" t="s">
        <v>8011</v>
      </c>
      <c r="C470" t="s">
        <v>8153</v>
      </c>
      <c r="D470">
        <v>77</v>
      </c>
    </row>
    <row r="471" spans="1:4" x14ac:dyDescent="0.55000000000000004">
      <c r="A471" t="s">
        <v>7986</v>
      </c>
      <c r="B471" t="s">
        <v>8011</v>
      </c>
      <c r="C471" t="s">
        <v>8153</v>
      </c>
      <c r="D471">
        <v>77</v>
      </c>
    </row>
    <row r="472" spans="1:4" x14ac:dyDescent="0.55000000000000004">
      <c r="A472" t="s">
        <v>7987</v>
      </c>
      <c r="B472" t="s">
        <v>8011</v>
      </c>
      <c r="C472" t="s">
        <v>8153</v>
      </c>
      <c r="D472">
        <v>77</v>
      </c>
    </row>
    <row r="473" spans="1:4" x14ac:dyDescent="0.55000000000000004">
      <c r="A473" t="s">
        <v>7958</v>
      </c>
      <c r="B473" t="s">
        <v>8011</v>
      </c>
      <c r="C473" t="s">
        <v>8153</v>
      </c>
      <c r="D473">
        <v>77</v>
      </c>
    </row>
    <row r="474" spans="1:4" x14ac:dyDescent="0.55000000000000004">
      <c r="A474" t="s">
        <v>7959</v>
      </c>
      <c r="B474" t="s">
        <v>8011</v>
      </c>
      <c r="C474" t="s">
        <v>8153</v>
      </c>
      <c r="D474">
        <v>77</v>
      </c>
    </row>
    <row r="475" spans="1:4" x14ac:dyDescent="0.55000000000000004">
      <c r="A475" t="s">
        <v>7960</v>
      </c>
      <c r="B475" t="s">
        <v>8011</v>
      </c>
      <c r="C475" t="s">
        <v>8153</v>
      </c>
      <c r="D475">
        <v>77</v>
      </c>
    </row>
    <row r="476" spans="1:4" x14ac:dyDescent="0.55000000000000004">
      <c r="A476" t="s">
        <v>7970</v>
      </c>
      <c r="B476" t="s">
        <v>8038</v>
      </c>
      <c r="C476" t="s">
        <v>8147</v>
      </c>
      <c r="D476">
        <v>78</v>
      </c>
    </row>
    <row r="477" spans="1:4" x14ac:dyDescent="0.55000000000000004">
      <c r="A477" t="s">
        <v>7948</v>
      </c>
      <c r="B477" t="s">
        <v>8001</v>
      </c>
      <c r="C477" t="s">
        <v>8147</v>
      </c>
      <c r="D477">
        <v>78</v>
      </c>
    </row>
    <row r="478" spans="1:4" x14ac:dyDescent="0.55000000000000004">
      <c r="A478" t="s">
        <v>7949</v>
      </c>
      <c r="B478" t="s">
        <v>8001</v>
      </c>
      <c r="C478" t="s">
        <v>8147</v>
      </c>
      <c r="D478">
        <v>78</v>
      </c>
    </row>
    <row r="479" spans="1:4" x14ac:dyDescent="0.55000000000000004">
      <c r="A479" t="s">
        <v>7950</v>
      </c>
      <c r="B479" t="s">
        <v>8001</v>
      </c>
      <c r="C479" t="s">
        <v>8147</v>
      </c>
      <c r="D479">
        <v>78</v>
      </c>
    </row>
    <row r="480" spans="1:4" x14ac:dyDescent="0.55000000000000004">
      <c r="A480" t="s">
        <v>7943</v>
      </c>
      <c r="B480" t="s">
        <v>8071</v>
      </c>
      <c r="C480" t="s">
        <v>8126</v>
      </c>
      <c r="D480">
        <v>79</v>
      </c>
    </row>
    <row r="481" spans="1:4" x14ac:dyDescent="0.55000000000000004">
      <c r="A481" t="s">
        <v>7944</v>
      </c>
      <c r="B481" t="s">
        <v>8071</v>
      </c>
      <c r="C481" t="s">
        <v>8126</v>
      </c>
      <c r="D481">
        <v>79</v>
      </c>
    </row>
    <row r="482" spans="1:4" x14ac:dyDescent="0.55000000000000004">
      <c r="A482" t="s">
        <v>7945</v>
      </c>
      <c r="B482" t="s">
        <v>8071</v>
      </c>
      <c r="C482" t="s">
        <v>8126</v>
      </c>
      <c r="D482">
        <v>79</v>
      </c>
    </row>
    <row r="483" spans="1:4" x14ac:dyDescent="0.55000000000000004">
      <c r="A483" t="s">
        <v>7943</v>
      </c>
      <c r="B483" t="s">
        <v>8073</v>
      </c>
      <c r="C483" t="s">
        <v>8150</v>
      </c>
      <c r="D483">
        <v>80</v>
      </c>
    </row>
    <row r="484" spans="1:4" x14ac:dyDescent="0.55000000000000004">
      <c r="A484" t="s">
        <v>7944</v>
      </c>
      <c r="B484" t="s">
        <v>8073</v>
      </c>
      <c r="C484" t="s">
        <v>8150</v>
      </c>
      <c r="D484">
        <v>80</v>
      </c>
    </row>
    <row r="485" spans="1:4" x14ac:dyDescent="0.55000000000000004">
      <c r="A485" t="s">
        <v>7945</v>
      </c>
      <c r="B485" t="s">
        <v>8073</v>
      </c>
      <c r="C485" t="s">
        <v>8150</v>
      </c>
      <c r="D485">
        <v>80</v>
      </c>
    </row>
    <row r="486" spans="1:4" x14ac:dyDescent="0.55000000000000004">
      <c r="A486" t="s">
        <v>7948</v>
      </c>
      <c r="B486" t="s">
        <v>8006</v>
      </c>
      <c r="C486" t="s">
        <v>8150</v>
      </c>
      <c r="D486">
        <v>80</v>
      </c>
    </row>
    <row r="487" spans="1:4" x14ac:dyDescent="0.55000000000000004">
      <c r="A487" t="s">
        <v>7949</v>
      </c>
      <c r="B487" t="s">
        <v>8006</v>
      </c>
      <c r="C487" t="s">
        <v>8150</v>
      </c>
      <c r="D487">
        <v>80</v>
      </c>
    </row>
    <row r="488" spans="1:4" x14ac:dyDescent="0.55000000000000004">
      <c r="A488" t="s">
        <v>7950</v>
      </c>
      <c r="B488" t="s">
        <v>8006</v>
      </c>
      <c r="C488" t="s">
        <v>8150</v>
      </c>
      <c r="D488">
        <v>80</v>
      </c>
    </row>
    <row r="489" spans="1:4" x14ac:dyDescent="0.55000000000000004">
      <c r="A489" t="s">
        <v>7970</v>
      </c>
      <c r="B489" t="s">
        <v>8074</v>
      </c>
      <c r="C489" t="s">
        <v>8127</v>
      </c>
      <c r="D489">
        <v>81</v>
      </c>
    </row>
    <row r="490" spans="1:4" x14ac:dyDescent="0.55000000000000004">
      <c r="A490" t="s">
        <v>7970</v>
      </c>
      <c r="B490" t="s">
        <v>8079</v>
      </c>
      <c r="C490" t="s">
        <v>8128</v>
      </c>
      <c r="D490">
        <v>82</v>
      </c>
    </row>
    <row r="491" spans="1:4" x14ac:dyDescent="0.55000000000000004">
      <c r="A491" t="s">
        <v>7970</v>
      </c>
      <c r="B491" t="s">
        <v>8080</v>
      </c>
      <c r="C491" t="s">
        <v>8129</v>
      </c>
      <c r="D491">
        <v>83</v>
      </c>
    </row>
    <row r="492" spans="1:4" x14ac:dyDescent="0.55000000000000004">
      <c r="A492" t="s">
        <v>7951</v>
      </c>
      <c r="B492" t="s">
        <v>8016</v>
      </c>
      <c r="C492" t="s">
        <v>8151</v>
      </c>
      <c r="D492">
        <v>84</v>
      </c>
    </row>
    <row r="493" spans="1:4" x14ac:dyDescent="0.55000000000000004">
      <c r="A493" t="s">
        <v>7952</v>
      </c>
      <c r="B493" t="s">
        <v>8016</v>
      </c>
      <c r="C493" t="s">
        <v>8151</v>
      </c>
      <c r="D493">
        <v>84</v>
      </c>
    </row>
    <row r="494" spans="1:4" x14ac:dyDescent="0.55000000000000004">
      <c r="A494" t="s">
        <v>7953</v>
      </c>
      <c r="B494" t="s">
        <v>8016</v>
      </c>
      <c r="C494" t="s">
        <v>8151</v>
      </c>
      <c r="D494">
        <v>84</v>
      </c>
    </row>
    <row r="495" spans="1:4" x14ac:dyDescent="0.55000000000000004">
      <c r="A495" t="s">
        <v>7954</v>
      </c>
      <c r="B495" t="s">
        <v>8016</v>
      </c>
      <c r="C495" t="s">
        <v>8151</v>
      </c>
      <c r="D495">
        <v>84</v>
      </c>
    </row>
    <row r="496" spans="1:4" x14ac:dyDescent="0.55000000000000004">
      <c r="A496" t="s">
        <v>7955</v>
      </c>
      <c r="B496" t="s">
        <v>8016</v>
      </c>
      <c r="C496" t="s">
        <v>8151</v>
      </c>
      <c r="D496">
        <v>84</v>
      </c>
    </row>
    <row r="497" spans="1:4" x14ac:dyDescent="0.55000000000000004">
      <c r="A497" t="s">
        <v>7956</v>
      </c>
      <c r="B497" t="s">
        <v>8016</v>
      </c>
      <c r="C497" t="s">
        <v>8151</v>
      </c>
      <c r="D497">
        <v>84</v>
      </c>
    </row>
    <row r="498" spans="1:4" x14ac:dyDescent="0.55000000000000004">
      <c r="A498" t="s">
        <v>7942</v>
      </c>
      <c r="B498" t="s">
        <v>8016</v>
      </c>
      <c r="C498" t="s">
        <v>8151</v>
      </c>
      <c r="D498">
        <v>84</v>
      </c>
    </row>
    <row r="499" spans="1:4" x14ac:dyDescent="0.55000000000000004">
      <c r="A499" t="s">
        <v>7946</v>
      </c>
      <c r="B499" t="s">
        <v>8016</v>
      </c>
      <c r="C499" t="s">
        <v>8151</v>
      </c>
      <c r="D499">
        <v>84</v>
      </c>
    </row>
    <row r="500" spans="1:4" x14ac:dyDescent="0.55000000000000004">
      <c r="A500" t="s">
        <v>7947</v>
      </c>
      <c r="B500" t="s">
        <v>8016</v>
      </c>
      <c r="C500" t="s">
        <v>8151</v>
      </c>
      <c r="D500">
        <v>84</v>
      </c>
    </row>
    <row r="501" spans="1:4" x14ac:dyDescent="0.55000000000000004">
      <c r="A501" t="s">
        <v>7943</v>
      </c>
      <c r="B501" t="s">
        <v>8081</v>
      </c>
      <c r="C501" t="s">
        <v>8151</v>
      </c>
      <c r="D501">
        <v>84</v>
      </c>
    </row>
    <row r="502" spans="1:4" x14ac:dyDescent="0.55000000000000004">
      <c r="A502" t="s">
        <v>7944</v>
      </c>
      <c r="B502" t="s">
        <v>8081</v>
      </c>
      <c r="C502" t="s">
        <v>8151</v>
      </c>
      <c r="D502">
        <v>84</v>
      </c>
    </row>
    <row r="503" spans="1:4" x14ac:dyDescent="0.55000000000000004">
      <c r="A503" t="s">
        <v>7945</v>
      </c>
      <c r="B503" t="s">
        <v>8081</v>
      </c>
      <c r="C503" t="s">
        <v>8151</v>
      </c>
      <c r="D503">
        <v>84</v>
      </c>
    </row>
    <row r="504" spans="1:4" x14ac:dyDescent="0.55000000000000004">
      <c r="A504" t="s">
        <v>7948</v>
      </c>
      <c r="B504" t="s">
        <v>8008</v>
      </c>
      <c r="C504" t="s">
        <v>8151</v>
      </c>
      <c r="D504">
        <v>84</v>
      </c>
    </row>
    <row r="505" spans="1:4" x14ac:dyDescent="0.55000000000000004">
      <c r="A505" t="s">
        <v>7949</v>
      </c>
      <c r="B505" t="s">
        <v>8008</v>
      </c>
      <c r="C505" t="s">
        <v>8151</v>
      </c>
      <c r="D505">
        <v>84</v>
      </c>
    </row>
    <row r="506" spans="1:4" x14ac:dyDescent="0.55000000000000004">
      <c r="A506" t="s">
        <v>7950</v>
      </c>
      <c r="B506" t="s">
        <v>8008</v>
      </c>
      <c r="C506" t="s">
        <v>8151</v>
      </c>
      <c r="D506">
        <v>84</v>
      </c>
    </row>
    <row r="507" spans="1:4" x14ac:dyDescent="0.55000000000000004">
      <c r="A507" t="s">
        <v>7957</v>
      </c>
      <c r="B507" t="s">
        <v>8167</v>
      </c>
      <c r="C507" t="s">
        <v>8067</v>
      </c>
      <c r="D507">
        <v>85</v>
      </c>
    </row>
    <row r="508" spans="1:4" x14ac:dyDescent="0.55000000000000004">
      <c r="A508" t="s">
        <v>7970</v>
      </c>
      <c r="B508" t="s">
        <v>8082</v>
      </c>
      <c r="C508" t="s">
        <v>8102</v>
      </c>
      <c r="D508">
        <v>86</v>
      </c>
    </row>
    <row r="509" spans="1:4" x14ac:dyDescent="0.55000000000000004">
      <c r="A509" t="s">
        <v>7943</v>
      </c>
      <c r="B509" t="s">
        <v>8082</v>
      </c>
      <c r="C509" t="s">
        <v>8102</v>
      </c>
      <c r="D509">
        <v>86</v>
      </c>
    </row>
    <row r="510" spans="1:4" x14ac:dyDescent="0.55000000000000004">
      <c r="A510" t="s">
        <v>7944</v>
      </c>
      <c r="B510" t="s">
        <v>8082</v>
      </c>
      <c r="C510" t="s">
        <v>8102</v>
      </c>
      <c r="D510">
        <v>86</v>
      </c>
    </row>
    <row r="511" spans="1:4" x14ac:dyDescent="0.55000000000000004">
      <c r="A511" t="s">
        <v>7945</v>
      </c>
      <c r="B511" t="s">
        <v>8082</v>
      </c>
      <c r="C511" t="s">
        <v>8102</v>
      </c>
      <c r="D511">
        <v>86</v>
      </c>
    </row>
    <row r="512" spans="1:4" x14ac:dyDescent="0.55000000000000004">
      <c r="A512" t="s">
        <v>7961</v>
      </c>
      <c r="B512" t="s">
        <v>8006</v>
      </c>
      <c r="C512" t="s">
        <v>8102</v>
      </c>
      <c r="D512">
        <v>86</v>
      </c>
    </row>
    <row r="513" spans="1:4" x14ac:dyDescent="0.55000000000000004">
      <c r="A513" t="s">
        <v>7962</v>
      </c>
      <c r="B513" t="s">
        <v>8006</v>
      </c>
      <c r="C513" t="s">
        <v>8102</v>
      </c>
      <c r="D513">
        <v>86</v>
      </c>
    </row>
    <row r="514" spans="1:4" x14ac:dyDescent="0.55000000000000004">
      <c r="A514" t="s">
        <v>7963</v>
      </c>
      <c r="B514" t="s">
        <v>8006</v>
      </c>
      <c r="C514" t="s">
        <v>8102</v>
      </c>
      <c r="D514">
        <v>86</v>
      </c>
    </row>
    <row r="515" spans="1:4" x14ac:dyDescent="0.55000000000000004">
      <c r="A515" t="s">
        <v>7951</v>
      </c>
      <c r="B515" t="s">
        <v>8164</v>
      </c>
      <c r="C515" t="s">
        <v>7979</v>
      </c>
      <c r="D515">
        <v>87</v>
      </c>
    </row>
    <row r="516" spans="1:4" x14ac:dyDescent="0.55000000000000004">
      <c r="A516" t="s">
        <v>7952</v>
      </c>
      <c r="B516" t="s">
        <v>8164</v>
      </c>
      <c r="C516" t="s">
        <v>7979</v>
      </c>
      <c r="D516">
        <v>87</v>
      </c>
    </row>
    <row r="517" spans="1:4" x14ac:dyDescent="0.55000000000000004">
      <c r="A517" t="s">
        <v>7953</v>
      </c>
      <c r="B517" t="s">
        <v>8164</v>
      </c>
      <c r="C517" t="s">
        <v>7979</v>
      </c>
      <c r="D517">
        <v>87</v>
      </c>
    </row>
    <row r="518" spans="1:4" x14ac:dyDescent="0.55000000000000004">
      <c r="A518" t="s">
        <v>7954</v>
      </c>
      <c r="B518" t="s">
        <v>8164</v>
      </c>
      <c r="C518" t="s">
        <v>7979</v>
      </c>
      <c r="D518">
        <v>87</v>
      </c>
    </row>
    <row r="519" spans="1:4" x14ac:dyDescent="0.55000000000000004">
      <c r="A519" t="s">
        <v>7955</v>
      </c>
      <c r="B519" t="s">
        <v>8164</v>
      </c>
      <c r="C519" t="s">
        <v>7979</v>
      </c>
      <c r="D519">
        <v>87</v>
      </c>
    </row>
    <row r="520" spans="1:4" x14ac:dyDescent="0.55000000000000004">
      <c r="A520" t="s">
        <v>7956</v>
      </c>
      <c r="B520" t="s">
        <v>8164</v>
      </c>
      <c r="C520" t="s">
        <v>7979</v>
      </c>
      <c r="D520">
        <v>87</v>
      </c>
    </row>
    <row r="521" spans="1:4" x14ac:dyDescent="0.55000000000000004">
      <c r="A521" t="s">
        <v>7942</v>
      </c>
      <c r="B521" t="s">
        <v>8164</v>
      </c>
      <c r="C521" t="s">
        <v>7979</v>
      </c>
      <c r="D521">
        <v>87</v>
      </c>
    </row>
    <row r="522" spans="1:4" x14ac:dyDescent="0.55000000000000004">
      <c r="A522" t="s">
        <v>7946</v>
      </c>
      <c r="B522" t="s">
        <v>8164</v>
      </c>
      <c r="C522" t="s">
        <v>7979</v>
      </c>
      <c r="D522">
        <v>87</v>
      </c>
    </row>
    <row r="523" spans="1:4" x14ac:dyDescent="0.55000000000000004">
      <c r="A523" t="s">
        <v>7947</v>
      </c>
      <c r="B523" t="s">
        <v>8164</v>
      </c>
      <c r="C523" t="s">
        <v>7979</v>
      </c>
      <c r="D523">
        <v>87</v>
      </c>
    </row>
    <row r="524" spans="1:4" x14ac:dyDescent="0.55000000000000004">
      <c r="A524" t="s">
        <v>7943</v>
      </c>
      <c r="B524" t="s">
        <v>8083</v>
      </c>
      <c r="C524" t="s">
        <v>8130</v>
      </c>
      <c r="D524">
        <v>88</v>
      </c>
    </row>
    <row r="525" spans="1:4" x14ac:dyDescent="0.55000000000000004">
      <c r="A525" t="s">
        <v>7944</v>
      </c>
      <c r="B525" t="s">
        <v>8083</v>
      </c>
      <c r="C525" t="s">
        <v>8130</v>
      </c>
      <c r="D525">
        <v>88</v>
      </c>
    </row>
    <row r="526" spans="1:4" x14ac:dyDescent="0.55000000000000004">
      <c r="A526" t="s">
        <v>7945</v>
      </c>
      <c r="B526" t="s">
        <v>8083</v>
      </c>
      <c r="C526" t="s">
        <v>8130</v>
      </c>
      <c r="D526">
        <v>88</v>
      </c>
    </row>
    <row r="527" spans="1:4" x14ac:dyDescent="0.55000000000000004">
      <c r="A527" t="s">
        <v>7985</v>
      </c>
      <c r="B527" t="s">
        <v>8014</v>
      </c>
      <c r="C527" t="s">
        <v>1257</v>
      </c>
      <c r="D527">
        <v>89</v>
      </c>
    </row>
    <row r="528" spans="1:4" x14ac:dyDescent="0.55000000000000004">
      <c r="A528" t="s">
        <v>7986</v>
      </c>
      <c r="B528" t="s">
        <v>8014</v>
      </c>
      <c r="C528" t="s">
        <v>1257</v>
      </c>
      <c r="D528">
        <v>89</v>
      </c>
    </row>
    <row r="529" spans="1:4" x14ac:dyDescent="0.55000000000000004">
      <c r="A529" t="s">
        <v>7987</v>
      </c>
      <c r="B529" t="s">
        <v>8014</v>
      </c>
      <c r="C529" t="s">
        <v>1257</v>
      </c>
      <c r="D529">
        <v>89</v>
      </c>
    </row>
    <row r="530" spans="1:4" x14ac:dyDescent="0.55000000000000004">
      <c r="A530" t="s">
        <v>7951</v>
      </c>
      <c r="B530" t="s">
        <v>8010</v>
      </c>
      <c r="C530" t="s">
        <v>1257</v>
      </c>
      <c r="D530">
        <v>89</v>
      </c>
    </row>
    <row r="531" spans="1:4" x14ac:dyDescent="0.55000000000000004">
      <c r="A531" t="s">
        <v>7952</v>
      </c>
      <c r="B531" t="s">
        <v>8010</v>
      </c>
      <c r="C531" t="s">
        <v>1257</v>
      </c>
      <c r="D531">
        <v>89</v>
      </c>
    </row>
    <row r="532" spans="1:4" x14ac:dyDescent="0.55000000000000004">
      <c r="A532" t="s">
        <v>7953</v>
      </c>
      <c r="B532" t="s">
        <v>8010</v>
      </c>
      <c r="C532" t="s">
        <v>1257</v>
      </c>
      <c r="D532">
        <v>89</v>
      </c>
    </row>
    <row r="533" spans="1:4" x14ac:dyDescent="0.55000000000000004">
      <c r="A533" t="s">
        <v>7954</v>
      </c>
      <c r="B533" t="s">
        <v>8010</v>
      </c>
      <c r="C533" t="s">
        <v>1257</v>
      </c>
      <c r="D533">
        <v>89</v>
      </c>
    </row>
    <row r="534" spans="1:4" x14ac:dyDescent="0.55000000000000004">
      <c r="A534" t="s">
        <v>7955</v>
      </c>
      <c r="B534" t="s">
        <v>8010</v>
      </c>
      <c r="C534" t="s">
        <v>1257</v>
      </c>
      <c r="D534">
        <v>89</v>
      </c>
    </row>
    <row r="535" spans="1:4" x14ac:dyDescent="0.55000000000000004">
      <c r="A535" t="s">
        <v>7956</v>
      </c>
      <c r="B535" t="s">
        <v>8010</v>
      </c>
      <c r="C535" t="s">
        <v>1257</v>
      </c>
      <c r="D535">
        <v>89</v>
      </c>
    </row>
    <row r="536" spans="1:4" x14ac:dyDescent="0.55000000000000004">
      <c r="A536" t="s">
        <v>7942</v>
      </c>
      <c r="B536" t="s">
        <v>8010</v>
      </c>
      <c r="C536" t="s">
        <v>1257</v>
      </c>
      <c r="D536">
        <v>89</v>
      </c>
    </row>
    <row r="537" spans="1:4" x14ac:dyDescent="0.55000000000000004">
      <c r="A537" t="s">
        <v>7946</v>
      </c>
      <c r="B537" t="s">
        <v>8010</v>
      </c>
      <c r="C537" t="s">
        <v>1257</v>
      </c>
      <c r="D537">
        <v>89</v>
      </c>
    </row>
    <row r="538" spans="1:4" x14ac:dyDescent="0.55000000000000004">
      <c r="A538" t="s">
        <v>7947</v>
      </c>
      <c r="B538" t="s">
        <v>8010</v>
      </c>
      <c r="C538" t="s">
        <v>1257</v>
      </c>
      <c r="D538">
        <v>89</v>
      </c>
    </row>
    <row r="539" spans="1:4" x14ac:dyDescent="0.55000000000000004">
      <c r="A539" t="s">
        <v>7970</v>
      </c>
      <c r="B539" t="s">
        <v>8084</v>
      </c>
      <c r="C539" t="s">
        <v>1257</v>
      </c>
      <c r="D539">
        <v>89</v>
      </c>
    </row>
    <row r="540" spans="1:4" x14ac:dyDescent="0.55000000000000004">
      <c r="A540" t="s">
        <v>7943</v>
      </c>
      <c r="B540" t="s">
        <v>8084</v>
      </c>
      <c r="C540" t="s">
        <v>1257</v>
      </c>
      <c r="D540">
        <v>89</v>
      </c>
    </row>
    <row r="541" spans="1:4" x14ac:dyDescent="0.55000000000000004">
      <c r="A541" t="s">
        <v>7944</v>
      </c>
      <c r="B541" t="s">
        <v>8084</v>
      </c>
      <c r="C541" t="s">
        <v>1257</v>
      </c>
      <c r="D541">
        <v>89</v>
      </c>
    </row>
    <row r="542" spans="1:4" x14ac:dyDescent="0.55000000000000004">
      <c r="A542" t="s">
        <v>7945</v>
      </c>
      <c r="B542" t="s">
        <v>8084</v>
      </c>
      <c r="C542" t="s">
        <v>1257</v>
      </c>
      <c r="D542">
        <v>89</v>
      </c>
    </row>
    <row r="543" spans="1:4" x14ac:dyDescent="0.55000000000000004">
      <c r="A543" t="s">
        <v>7961</v>
      </c>
      <c r="B543" t="s">
        <v>8008</v>
      </c>
      <c r="C543" t="s">
        <v>1257</v>
      </c>
      <c r="D543">
        <v>89</v>
      </c>
    </row>
    <row r="544" spans="1:4" x14ac:dyDescent="0.55000000000000004">
      <c r="A544" t="s">
        <v>7962</v>
      </c>
      <c r="B544" t="s">
        <v>8008</v>
      </c>
      <c r="C544" t="s">
        <v>1257</v>
      </c>
      <c r="D544">
        <v>89</v>
      </c>
    </row>
    <row r="545" spans="1:4" x14ac:dyDescent="0.55000000000000004">
      <c r="A545" t="s">
        <v>7963</v>
      </c>
      <c r="B545" t="s">
        <v>8008</v>
      </c>
      <c r="C545" t="s">
        <v>1257</v>
      </c>
      <c r="D545">
        <v>89</v>
      </c>
    </row>
    <row r="546" spans="1:4" x14ac:dyDescent="0.55000000000000004">
      <c r="A546" t="s">
        <v>7967</v>
      </c>
      <c r="B546" t="s">
        <v>8010</v>
      </c>
      <c r="C546" t="s">
        <v>1257</v>
      </c>
      <c r="D546">
        <v>89</v>
      </c>
    </row>
    <row r="547" spans="1:4" x14ac:dyDescent="0.55000000000000004">
      <c r="A547" t="s">
        <v>7968</v>
      </c>
      <c r="B547" t="s">
        <v>8010</v>
      </c>
      <c r="C547" t="s">
        <v>1257</v>
      </c>
      <c r="D547">
        <v>89</v>
      </c>
    </row>
    <row r="548" spans="1:4" x14ac:dyDescent="0.55000000000000004">
      <c r="A548" t="s">
        <v>7969</v>
      </c>
      <c r="B548" t="s">
        <v>8010</v>
      </c>
      <c r="C548" t="s">
        <v>1257</v>
      </c>
      <c r="D548">
        <v>89</v>
      </c>
    </row>
    <row r="549" spans="1:4" x14ac:dyDescent="0.55000000000000004">
      <c r="A549" t="s">
        <v>7964</v>
      </c>
      <c r="B549" t="s">
        <v>8010</v>
      </c>
      <c r="C549" t="s">
        <v>1257</v>
      </c>
      <c r="D549">
        <v>89</v>
      </c>
    </row>
    <row r="550" spans="1:4" x14ac:dyDescent="0.55000000000000004">
      <c r="A550" t="s">
        <v>7965</v>
      </c>
      <c r="B550" t="s">
        <v>8010</v>
      </c>
      <c r="C550" t="s">
        <v>1257</v>
      </c>
      <c r="D550">
        <v>89</v>
      </c>
    </row>
    <row r="551" spans="1:4" x14ac:dyDescent="0.55000000000000004">
      <c r="A551" t="s">
        <v>7966</v>
      </c>
      <c r="B551" t="s">
        <v>8010</v>
      </c>
      <c r="C551" t="s">
        <v>1257</v>
      </c>
      <c r="D551">
        <v>89</v>
      </c>
    </row>
    <row r="552" spans="1:4" x14ac:dyDescent="0.55000000000000004">
      <c r="A552" t="s">
        <v>7958</v>
      </c>
      <c r="B552" t="s">
        <v>8014</v>
      </c>
      <c r="C552" t="s">
        <v>1257</v>
      </c>
      <c r="D552">
        <v>89</v>
      </c>
    </row>
    <row r="553" spans="1:4" x14ac:dyDescent="0.55000000000000004">
      <c r="A553" t="s">
        <v>7959</v>
      </c>
      <c r="B553" t="s">
        <v>8014</v>
      </c>
      <c r="C553" t="s">
        <v>1257</v>
      </c>
      <c r="D553">
        <v>89</v>
      </c>
    </row>
    <row r="554" spans="1:4" x14ac:dyDescent="0.55000000000000004">
      <c r="A554" t="s">
        <v>7960</v>
      </c>
      <c r="B554" t="s">
        <v>8014</v>
      </c>
      <c r="C554" t="s">
        <v>1257</v>
      </c>
      <c r="D554">
        <v>89</v>
      </c>
    </row>
    <row r="555" spans="1:4" x14ac:dyDescent="0.55000000000000004">
      <c r="A555" t="s">
        <v>7951</v>
      </c>
      <c r="B555" t="s">
        <v>8161</v>
      </c>
      <c r="C555" t="s">
        <v>7977</v>
      </c>
      <c r="D555">
        <v>90</v>
      </c>
    </row>
    <row r="556" spans="1:4" x14ac:dyDescent="0.55000000000000004">
      <c r="A556" t="s">
        <v>7952</v>
      </c>
      <c r="B556" t="s">
        <v>8161</v>
      </c>
      <c r="C556" t="s">
        <v>7977</v>
      </c>
      <c r="D556">
        <v>90</v>
      </c>
    </row>
    <row r="557" spans="1:4" x14ac:dyDescent="0.55000000000000004">
      <c r="A557" t="s">
        <v>7953</v>
      </c>
      <c r="B557" t="s">
        <v>8161</v>
      </c>
      <c r="C557" t="s">
        <v>7977</v>
      </c>
      <c r="D557">
        <v>90</v>
      </c>
    </row>
    <row r="558" spans="1:4" x14ac:dyDescent="0.55000000000000004">
      <c r="A558" t="s">
        <v>7954</v>
      </c>
      <c r="B558" t="s">
        <v>8161</v>
      </c>
      <c r="C558" t="s">
        <v>7977</v>
      </c>
      <c r="D558">
        <v>90</v>
      </c>
    </row>
    <row r="559" spans="1:4" x14ac:dyDescent="0.55000000000000004">
      <c r="A559" t="s">
        <v>7955</v>
      </c>
      <c r="B559" t="s">
        <v>8161</v>
      </c>
      <c r="C559" t="s">
        <v>7977</v>
      </c>
      <c r="D559">
        <v>90</v>
      </c>
    </row>
    <row r="560" spans="1:4" x14ac:dyDescent="0.55000000000000004">
      <c r="A560" t="s">
        <v>7956</v>
      </c>
      <c r="B560" t="s">
        <v>8161</v>
      </c>
      <c r="C560" t="s">
        <v>7977</v>
      </c>
      <c r="D560">
        <v>90</v>
      </c>
    </row>
    <row r="561" spans="1:4" x14ac:dyDescent="0.55000000000000004">
      <c r="A561" t="s">
        <v>7942</v>
      </c>
      <c r="B561" t="s">
        <v>8161</v>
      </c>
      <c r="C561" t="s">
        <v>7977</v>
      </c>
      <c r="D561">
        <v>90</v>
      </c>
    </row>
    <row r="562" spans="1:4" x14ac:dyDescent="0.55000000000000004">
      <c r="A562" t="s">
        <v>7946</v>
      </c>
      <c r="B562" t="s">
        <v>8161</v>
      </c>
      <c r="C562" t="s">
        <v>7977</v>
      </c>
      <c r="D562">
        <v>90</v>
      </c>
    </row>
    <row r="563" spans="1:4" x14ac:dyDescent="0.55000000000000004">
      <c r="A563" t="s">
        <v>7947</v>
      </c>
      <c r="B563" t="s">
        <v>8161</v>
      </c>
      <c r="C563" t="s">
        <v>7977</v>
      </c>
      <c r="D563">
        <v>90</v>
      </c>
    </row>
    <row r="564" spans="1:4" x14ac:dyDescent="0.55000000000000004">
      <c r="A564" t="s">
        <v>7951</v>
      </c>
      <c r="B564" t="s">
        <v>8170</v>
      </c>
      <c r="C564" t="s">
        <v>7981</v>
      </c>
      <c r="D564">
        <v>91</v>
      </c>
    </row>
    <row r="565" spans="1:4" x14ac:dyDescent="0.55000000000000004">
      <c r="A565" t="s">
        <v>7952</v>
      </c>
      <c r="B565" t="s">
        <v>8170</v>
      </c>
      <c r="C565" t="s">
        <v>7981</v>
      </c>
      <c r="D565">
        <v>91</v>
      </c>
    </row>
    <row r="566" spans="1:4" x14ac:dyDescent="0.55000000000000004">
      <c r="A566" t="s">
        <v>7953</v>
      </c>
      <c r="B566" t="s">
        <v>8170</v>
      </c>
      <c r="C566" t="s">
        <v>7981</v>
      </c>
      <c r="D566">
        <v>91</v>
      </c>
    </row>
    <row r="567" spans="1:4" x14ac:dyDescent="0.55000000000000004">
      <c r="A567" t="s">
        <v>7954</v>
      </c>
      <c r="B567" t="s">
        <v>8170</v>
      </c>
      <c r="C567" t="s">
        <v>7981</v>
      </c>
      <c r="D567">
        <v>91</v>
      </c>
    </row>
    <row r="568" spans="1:4" x14ac:dyDescent="0.55000000000000004">
      <c r="A568" t="s">
        <v>7955</v>
      </c>
      <c r="B568" t="s">
        <v>8170</v>
      </c>
      <c r="C568" t="s">
        <v>7981</v>
      </c>
      <c r="D568">
        <v>91</v>
      </c>
    </row>
    <row r="569" spans="1:4" x14ac:dyDescent="0.55000000000000004">
      <c r="A569" t="s">
        <v>7956</v>
      </c>
      <c r="B569" t="s">
        <v>8170</v>
      </c>
      <c r="C569" t="s">
        <v>7981</v>
      </c>
      <c r="D569">
        <v>91</v>
      </c>
    </row>
    <row r="570" spans="1:4" x14ac:dyDescent="0.55000000000000004">
      <c r="A570" t="s">
        <v>7942</v>
      </c>
      <c r="B570" t="s">
        <v>8170</v>
      </c>
      <c r="C570" t="s">
        <v>7981</v>
      </c>
      <c r="D570">
        <v>91</v>
      </c>
    </row>
    <row r="571" spans="1:4" x14ac:dyDescent="0.55000000000000004">
      <c r="A571" t="s">
        <v>7946</v>
      </c>
      <c r="B571" t="s">
        <v>8170</v>
      </c>
      <c r="C571" t="s">
        <v>7981</v>
      </c>
      <c r="D571">
        <v>91</v>
      </c>
    </row>
    <row r="572" spans="1:4" x14ac:dyDescent="0.55000000000000004">
      <c r="A572" t="s">
        <v>7947</v>
      </c>
      <c r="B572" t="s">
        <v>8170</v>
      </c>
      <c r="C572" t="s">
        <v>7981</v>
      </c>
      <c r="D572">
        <v>91</v>
      </c>
    </row>
    <row r="573" spans="1:4" x14ac:dyDescent="0.55000000000000004">
      <c r="A573" t="s">
        <v>7967</v>
      </c>
      <c r="B573" t="s">
        <v>8018</v>
      </c>
      <c r="C573" t="s">
        <v>8114</v>
      </c>
      <c r="D573">
        <v>92</v>
      </c>
    </row>
    <row r="574" spans="1:4" x14ac:dyDescent="0.55000000000000004">
      <c r="A574" t="s">
        <v>7968</v>
      </c>
      <c r="B574" t="s">
        <v>8018</v>
      </c>
      <c r="C574" t="s">
        <v>8114</v>
      </c>
      <c r="D574">
        <v>92</v>
      </c>
    </row>
    <row r="575" spans="1:4" x14ac:dyDescent="0.55000000000000004">
      <c r="A575" t="s">
        <v>7969</v>
      </c>
      <c r="B575" t="s">
        <v>8018</v>
      </c>
      <c r="C575" t="s">
        <v>8114</v>
      </c>
      <c r="D575">
        <v>92</v>
      </c>
    </row>
    <row r="576" spans="1:4" x14ac:dyDescent="0.55000000000000004">
      <c r="A576" t="s">
        <v>7964</v>
      </c>
      <c r="B576" t="s">
        <v>8018</v>
      </c>
      <c r="C576" t="s">
        <v>8114</v>
      </c>
      <c r="D576">
        <v>92</v>
      </c>
    </row>
    <row r="577" spans="1:4" x14ac:dyDescent="0.55000000000000004">
      <c r="A577" t="s">
        <v>7965</v>
      </c>
      <c r="B577" t="s">
        <v>8018</v>
      </c>
      <c r="C577" t="s">
        <v>8114</v>
      </c>
      <c r="D577">
        <v>92</v>
      </c>
    </row>
    <row r="578" spans="1:4" x14ac:dyDescent="0.55000000000000004">
      <c r="A578" t="s">
        <v>7966</v>
      </c>
      <c r="B578" t="s">
        <v>8018</v>
      </c>
      <c r="C578" t="s">
        <v>8114</v>
      </c>
      <c r="D578">
        <v>92</v>
      </c>
    </row>
    <row r="579" spans="1:4" x14ac:dyDescent="0.55000000000000004">
      <c r="A579" t="s">
        <v>7982</v>
      </c>
      <c r="B579" t="s">
        <v>8008</v>
      </c>
      <c r="C579" t="s">
        <v>8104</v>
      </c>
      <c r="D579">
        <v>93</v>
      </c>
    </row>
    <row r="580" spans="1:4" x14ac:dyDescent="0.55000000000000004">
      <c r="A580" t="s">
        <v>7983</v>
      </c>
      <c r="B580" t="s">
        <v>8008</v>
      </c>
      <c r="C580" t="s">
        <v>8104</v>
      </c>
      <c r="D580">
        <v>93</v>
      </c>
    </row>
    <row r="581" spans="1:4" x14ac:dyDescent="0.55000000000000004">
      <c r="A581" t="s">
        <v>7970</v>
      </c>
      <c r="B581" t="s">
        <v>8087</v>
      </c>
      <c r="C581" t="s">
        <v>8110</v>
      </c>
      <c r="D581">
        <v>94</v>
      </c>
    </row>
    <row r="582" spans="1:4" x14ac:dyDescent="0.55000000000000004">
      <c r="A582" t="s">
        <v>7967</v>
      </c>
      <c r="B582" t="s">
        <v>8011</v>
      </c>
      <c r="C582" t="s">
        <v>8110</v>
      </c>
      <c r="D582">
        <v>94</v>
      </c>
    </row>
    <row r="583" spans="1:4" x14ac:dyDescent="0.55000000000000004">
      <c r="A583" t="s">
        <v>7968</v>
      </c>
      <c r="B583" t="s">
        <v>8011</v>
      </c>
      <c r="C583" t="s">
        <v>8110</v>
      </c>
      <c r="D583">
        <v>94</v>
      </c>
    </row>
    <row r="584" spans="1:4" x14ac:dyDescent="0.55000000000000004">
      <c r="A584" t="s">
        <v>7969</v>
      </c>
      <c r="B584" t="s">
        <v>8011</v>
      </c>
      <c r="C584" t="s">
        <v>8110</v>
      </c>
      <c r="D584">
        <v>94</v>
      </c>
    </row>
    <row r="585" spans="1:4" x14ac:dyDescent="0.55000000000000004">
      <c r="A585" t="s">
        <v>7964</v>
      </c>
      <c r="B585" t="s">
        <v>8011</v>
      </c>
      <c r="C585" t="s">
        <v>8110</v>
      </c>
      <c r="D585">
        <v>94</v>
      </c>
    </row>
    <row r="586" spans="1:4" x14ac:dyDescent="0.55000000000000004">
      <c r="A586" t="s">
        <v>7965</v>
      </c>
      <c r="B586" t="s">
        <v>8011</v>
      </c>
      <c r="C586" t="s">
        <v>8110</v>
      </c>
      <c r="D586">
        <v>94</v>
      </c>
    </row>
    <row r="587" spans="1:4" x14ac:dyDescent="0.55000000000000004">
      <c r="A587" t="s">
        <v>7966</v>
      </c>
      <c r="B587" t="s">
        <v>8011</v>
      </c>
      <c r="C587" t="s">
        <v>8110</v>
      </c>
      <c r="D587">
        <v>94</v>
      </c>
    </row>
    <row r="588" spans="1:4" x14ac:dyDescent="0.55000000000000004">
      <c r="A588" t="s">
        <v>7970</v>
      </c>
      <c r="B588" t="s">
        <v>8088</v>
      </c>
      <c r="C588" t="s">
        <v>8131</v>
      </c>
      <c r="D588">
        <v>95</v>
      </c>
    </row>
    <row r="589" spans="1:4" x14ac:dyDescent="0.55000000000000004">
      <c r="A589" t="s">
        <v>7970</v>
      </c>
      <c r="B589" t="s">
        <v>8072</v>
      </c>
      <c r="C589" t="s">
        <v>8168</v>
      </c>
      <c r="D589">
        <v>96</v>
      </c>
    </row>
    <row r="590" spans="1:4" x14ac:dyDescent="0.55000000000000004">
      <c r="A590" t="s">
        <v>7967</v>
      </c>
      <c r="B590" t="s">
        <v>8016</v>
      </c>
      <c r="C590" t="s">
        <v>8155</v>
      </c>
      <c r="D590">
        <v>97</v>
      </c>
    </row>
    <row r="591" spans="1:4" x14ac:dyDescent="0.55000000000000004">
      <c r="A591" t="s">
        <v>7968</v>
      </c>
      <c r="B591" t="s">
        <v>8016</v>
      </c>
      <c r="C591" t="s">
        <v>8155</v>
      </c>
      <c r="D591">
        <v>97</v>
      </c>
    </row>
    <row r="592" spans="1:4" x14ac:dyDescent="0.55000000000000004">
      <c r="A592" t="s">
        <v>7969</v>
      </c>
      <c r="B592" t="s">
        <v>8016</v>
      </c>
      <c r="C592" t="s">
        <v>8155</v>
      </c>
      <c r="D592">
        <v>97</v>
      </c>
    </row>
    <row r="593" spans="1:4" x14ac:dyDescent="0.55000000000000004">
      <c r="A593" t="s">
        <v>7964</v>
      </c>
      <c r="B593" t="s">
        <v>8016</v>
      </c>
      <c r="C593" t="s">
        <v>8155</v>
      </c>
      <c r="D593">
        <v>97</v>
      </c>
    </row>
    <row r="594" spans="1:4" x14ac:dyDescent="0.55000000000000004">
      <c r="A594" t="s">
        <v>7965</v>
      </c>
      <c r="B594" t="s">
        <v>8016</v>
      </c>
      <c r="C594" t="s">
        <v>8155</v>
      </c>
      <c r="D594">
        <v>97</v>
      </c>
    </row>
    <row r="595" spans="1:4" x14ac:dyDescent="0.55000000000000004">
      <c r="A595" t="s">
        <v>7966</v>
      </c>
      <c r="B595" t="s">
        <v>8016</v>
      </c>
      <c r="C595" t="s">
        <v>8155</v>
      </c>
      <c r="D595">
        <v>97</v>
      </c>
    </row>
    <row r="596" spans="1:4" x14ac:dyDescent="0.55000000000000004">
      <c r="A596" t="s">
        <v>7967</v>
      </c>
      <c r="B596" t="s">
        <v>8022</v>
      </c>
      <c r="C596" t="s">
        <v>8115</v>
      </c>
      <c r="D596">
        <v>98</v>
      </c>
    </row>
    <row r="597" spans="1:4" x14ac:dyDescent="0.55000000000000004">
      <c r="A597" t="s">
        <v>7968</v>
      </c>
      <c r="B597" t="s">
        <v>8022</v>
      </c>
      <c r="C597" t="s">
        <v>8115</v>
      </c>
      <c r="D597">
        <v>98</v>
      </c>
    </row>
    <row r="598" spans="1:4" x14ac:dyDescent="0.55000000000000004">
      <c r="A598" t="s">
        <v>7969</v>
      </c>
      <c r="B598" t="s">
        <v>8022</v>
      </c>
      <c r="C598" t="s">
        <v>8115</v>
      </c>
      <c r="D598">
        <v>98</v>
      </c>
    </row>
    <row r="599" spans="1:4" x14ac:dyDescent="0.55000000000000004">
      <c r="A599" t="s">
        <v>7964</v>
      </c>
      <c r="B599" t="s">
        <v>8022</v>
      </c>
      <c r="C599" t="s">
        <v>8115</v>
      </c>
      <c r="D599">
        <v>98</v>
      </c>
    </row>
    <row r="600" spans="1:4" x14ac:dyDescent="0.55000000000000004">
      <c r="A600" t="s">
        <v>7965</v>
      </c>
      <c r="B600" t="s">
        <v>8022</v>
      </c>
      <c r="C600" t="s">
        <v>8115</v>
      </c>
      <c r="D600">
        <v>98</v>
      </c>
    </row>
    <row r="601" spans="1:4" x14ac:dyDescent="0.55000000000000004">
      <c r="A601" t="s">
        <v>7966</v>
      </c>
      <c r="B601" t="s">
        <v>8022</v>
      </c>
      <c r="C601" t="s">
        <v>8115</v>
      </c>
      <c r="D601">
        <v>98</v>
      </c>
    </row>
    <row r="602" spans="1:4" x14ac:dyDescent="0.55000000000000004">
      <c r="A602" t="s">
        <v>7970</v>
      </c>
      <c r="B602" t="s">
        <v>8089</v>
      </c>
      <c r="C602" t="s">
        <v>8132</v>
      </c>
      <c r="D602">
        <v>99</v>
      </c>
    </row>
    <row r="603" spans="1:4" x14ac:dyDescent="0.55000000000000004">
      <c r="A603" t="s">
        <v>7970</v>
      </c>
      <c r="B603" t="s">
        <v>8090</v>
      </c>
      <c r="C603" t="s">
        <v>8133</v>
      </c>
      <c r="D603">
        <v>100</v>
      </c>
    </row>
    <row r="604" spans="1:4" x14ac:dyDescent="0.55000000000000004">
      <c r="A604" t="s">
        <v>7982</v>
      </c>
      <c r="B604" t="s">
        <v>8010</v>
      </c>
      <c r="C604" t="s">
        <v>8106</v>
      </c>
      <c r="D604">
        <v>101</v>
      </c>
    </row>
    <row r="605" spans="1:4" x14ac:dyDescent="0.55000000000000004">
      <c r="A605" t="s">
        <v>7983</v>
      </c>
      <c r="B605" t="s">
        <v>8010</v>
      </c>
      <c r="C605" t="s">
        <v>8106</v>
      </c>
      <c r="D605">
        <v>101</v>
      </c>
    </row>
    <row r="606" spans="1:4" x14ac:dyDescent="0.55000000000000004">
      <c r="A606" t="s">
        <v>7970</v>
      </c>
      <c r="B606" t="s">
        <v>8091</v>
      </c>
      <c r="C606" t="s">
        <v>8134</v>
      </c>
      <c r="D606">
        <v>102</v>
      </c>
    </row>
    <row r="607" spans="1:4" x14ac:dyDescent="0.55000000000000004">
      <c r="A607" t="s">
        <v>7951</v>
      </c>
      <c r="B607" t="s">
        <v>8157</v>
      </c>
      <c r="C607" t="s">
        <v>7976</v>
      </c>
      <c r="D607">
        <v>103</v>
      </c>
    </row>
    <row r="608" spans="1:4" x14ac:dyDescent="0.55000000000000004">
      <c r="A608" t="s">
        <v>7952</v>
      </c>
      <c r="B608" t="s">
        <v>8157</v>
      </c>
      <c r="C608" t="s">
        <v>7976</v>
      </c>
      <c r="D608">
        <v>103</v>
      </c>
    </row>
    <row r="609" spans="1:4" x14ac:dyDescent="0.55000000000000004">
      <c r="A609" t="s">
        <v>7953</v>
      </c>
      <c r="B609" t="s">
        <v>8157</v>
      </c>
      <c r="C609" t="s">
        <v>7976</v>
      </c>
      <c r="D609">
        <v>103</v>
      </c>
    </row>
    <row r="610" spans="1:4" x14ac:dyDescent="0.55000000000000004">
      <c r="A610" t="s">
        <v>7954</v>
      </c>
      <c r="B610" t="s">
        <v>8157</v>
      </c>
      <c r="C610" t="s">
        <v>7976</v>
      </c>
      <c r="D610">
        <v>103</v>
      </c>
    </row>
    <row r="611" spans="1:4" x14ac:dyDescent="0.55000000000000004">
      <c r="A611" t="s">
        <v>7955</v>
      </c>
      <c r="B611" t="s">
        <v>8157</v>
      </c>
      <c r="C611" t="s">
        <v>7976</v>
      </c>
      <c r="D611">
        <v>103</v>
      </c>
    </row>
    <row r="612" spans="1:4" x14ac:dyDescent="0.55000000000000004">
      <c r="A612" t="s">
        <v>7956</v>
      </c>
      <c r="B612" t="s">
        <v>8157</v>
      </c>
      <c r="C612" t="s">
        <v>7976</v>
      </c>
      <c r="D612">
        <v>103</v>
      </c>
    </row>
    <row r="613" spans="1:4" x14ac:dyDescent="0.55000000000000004">
      <c r="A613" t="s">
        <v>7942</v>
      </c>
      <c r="B613" t="s">
        <v>8157</v>
      </c>
      <c r="C613" t="s">
        <v>7976</v>
      </c>
      <c r="D613">
        <v>103</v>
      </c>
    </row>
    <row r="614" spans="1:4" x14ac:dyDescent="0.55000000000000004">
      <c r="A614" t="s">
        <v>7946</v>
      </c>
      <c r="B614" t="s">
        <v>8157</v>
      </c>
      <c r="C614" t="s">
        <v>7976</v>
      </c>
      <c r="D614">
        <v>103</v>
      </c>
    </row>
    <row r="615" spans="1:4" x14ac:dyDescent="0.55000000000000004">
      <c r="A615" t="s">
        <v>7947</v>
      </c>
      <c r="B615" t="s">
        <v>8157</v>
      </c>
      <c r="C615" t="s">
        <v>7976</v>
      </c>
      <c r="D615">
        <v>103</v>
      </c>
    </row>
    <row r="616" spans="1:4" x14ac:dyDescent="0.55000000000000004">
      <c r="A616" t="s">
        <v>7985</v>
      </c>
      <c r="B616" t="s">
        <v>8016</v>
      </c>
      <c r="C616" t="s">
        <v>8112</v>
      </c>
      <c r="D616">
        <v>104</v>
      </c>
    </row>
    <row r="617" spans="1:4" x14ac:dyDescent="0.55000000000000004">
      <c r="A617" t="s">
        <v>7986</v>
      </c>
      <c r="B617" t="s">
        <v>8016</v>
      </c>
      <c r="C617" t="s">
        <v>8112</v>
      </c>
      <c r="D617">
        <v>104</v>
      </c>
    </row>
    <row r="618" spans="1:4" x14ac:dyDescent="0.55000000000000004">
      <c r="A618" t="s">
        <v>7987</v>
      </c>
      <c r="B618" t="s">
        <v>8016</v>
      </c>
      <c r="C618" t="s">
        <v>8112</v>
      </c>
      <c r="D618">
        <v>104</v>
      </c>
    </row>
    <row r="619" spans="1:4" x14ac:dyDescent="0.55000000000000004">
      <c r="A619" t="s">
        <v>7957</v>
      </c>
      <c r="B619" t="s">
        <v>8017</v>
      </c>
      <c r="C619" t="s">
        <v>8112</v>
      </c>
      <c r="D619">
        <v>104</v>
      </c>
    </row>
    <row r="620" spans="1:4" x14ac:dyDescent="0.55000000000000004">
      <c r="A620" t="s">
        <v>7958</v>
      </c>
      <c r="B620" t="s">
        <v>8016</v>
      </c>
      <c r="C620" t="s">
        <v>8112</v>
      </c>
      <c r="D620">
        <v>104</v>
      </c>
    </row>
    <row r="621" spans="1:4" x14ac:dyDescent="0.55000000000000004">
      <c r="A621" t="s">
        <v>7959</v>
      </c>
      <c r="B621" t="s">
        <v>8016</v>
      </c>
      <c r="C621" t="s">
        <v>8112</v>
      </c>
      <c r="D621">
        <v>104</v>
      </c>
    </row>
    <row r="622" spans="1:4" x14ac:dyDescent="0.55000000000000004">
      <c r="A622" t="s">
        <v>7960</v>
      </c>
      <c r="B622" t="s">
        <v>8016</v>
      </c>
      <c r="C622" t="s">
        <v>8112</v>
      </c>
      <c r="D622">
        <v>104</v>
      </c>
    </row>
    <row r="623" spans="1:4" x14ac:dyDescent="0.55000000000000004">
      <c r="A623" t="s">
        <v>7951</v>
      </c>
      <c r="B623" t="s">
        <v>8017</v>
      </c>
      <c r="C623" t="s">
        <v>5419</v>
      </c>
      <c r="D623">
        <v>105</v>
      </c>
    </row>
    <row r="624" spans="1:4" x14ac:dyDescent="0.55000000000000004">
      <c r="A624" t="s">
        <v>7952</v>
      </c>
      <c r="B624" t="s">
        <v>8017</v>
      </c>
      <c r="C624" t="s">
        <v>5419</v>
      </c>
      <c r="D624">
        <v>105</v>
      </c>
    </row>
    <row r="625" spans="1:4" x14ac:dyDescent="0.55000000000000004">
      <c r="A625" t="s">
        <v>7953</v>
      </c>
      <c r="B625" t="s">
        <v>8017</v>
      </c>
      <c r="C625" t="s">
        <v>5419</v>
      </c>
      <c r="D625">
        <v>105</v>
      </c>
    </row>
    <row r="626" spans="1:4" x14ac:dyDescent="0.55000000000000004">
      <c r="A626" t="s">
        <v>7954</v>
      </c>
      <c r="B626" t="s">
        <v>8017</v>
      </c>
      <c r="C626" t="s">
        <v>5419</v>
      </c>
      <c r="D626">
        <v>105</v>
      </c>
    </row>
    <row r="627" spans="1:4" x14ac:dyDescent="0.55000000000000004">
      <c r="A627" t="s">
        <v>7955</v>
      </c>
      <c r="B627" t="s">
        <v>8017</v>
      </c>
      <c r="C627" t="s">
        <v>5419</v>
      </c>
      <c r="D627">
        <v>105</v>
      </c>
    </row>
    <row r="628" spans="1:4" x14ac:dyDescent="0.55000000000000004">
      <c r="A628" t="s">
        <v>7956</v>
      </c>
      <c r="B628" t="s">
        <v>8017</v>
      </c>
      <c r="C628" t="s">
        <v>5419</v>
      </c>
      <c r="D628">
        <v>105</v>
      </c>
    </row>
    <row r="629" spans="1:4" x14ac:dyDescent="0.55000000000000004">
      <c r="A629" t="s">
        <v>7942</v>
      </c>
      <c r="B629" t="s">
        <v>8017</v>
      </c>
      <c r="C629" t="s">
        <v>5419</v>
      </c>
      <c r="D629">
        <v>105</v>
      </c>
    </row>
    <row r="630" spans="1:4" x14ac:dyDescent="0.55000000000000004">
      <c r="A630" t="s">
        <v>7946</v>
      </c>
      <c r="B630" t="s">
        <v>8017</v>
      </c>
      <c r="C630" t="s">
        <v>5419</v>
      </c>
      <c r="D630">
        <v>105</v>
      </c>
    </row>
    <row r="631" spans="1:4" x14ac:dyDescent="0.55000000000000004">
      <c r="A631" t="s">
        <v>7947</v>
      </c>
      <c r="B631" t="s">
        <v>8017</v>
      </c>
      <c r="C631" t="s">
        <v>5419</v>
      </c>
      <c r="D631">
        <v>105</v>
      </c>
    </row>
    <row r="632" spans="1:4" x14ac:dyDescent="0.55000000000000004">
      <c r="A632" t="s">
        <v>7970</v>
      </c>
      <c r="B632" t="s">
        <v>7996</v>
      </c>
      <c r="C632" t="s">
        <v>5419</v>
      </c>
      <c r="D632">
        <v>105</v>
      </c>
    </row>
    <row r="633" spans="1:4" x14ac:dyDescent="0.55000000000000004">
      <c r="A633" t="s">
        <v>7943</v>
      </c>
      <c r="B633" t="s">
        <v>7996</v>
      </c>
      <c r="C633" t="s">
        <v>5419</v>
      </c>
      <c r="D633">
        <v>105</v>
      </c>
    </row>
    <row r="634" spans="1:4" x14ac:dyDescent="0.55000000000000004">
      <c r="A634" t="s">
        <v>7944</v>
      </c>
      <c r="B634" t="s">
        <v>7996</v>
      </c>
      <c r="C634" t="s">
        <v>5419</v>
      </c>
      <c r="D634">
        <v>105</v>
      </c>
    </row>
    <row r="635" spans="1:4" x14ac:dyDescent="0.55000000000000004">
      <c r="A635" t="s">
        <v>7945</v>
      </c>
      <c r="B635" t="s">
        <v>7996</v>
      </c>
      <c r="C635" t="s">
        <v>5419</v>
      </c>
      <c r="D635">
        <v>105</v>
      </c>
    </row>
    <row r="636" spans="1:4" x14ac:dyDescent="0.55000000000000004">
      <c r="A636" t="s">
        <v>7961</v>
      </c>
      <c r="B636" t="s">
        <v>8010</v>
      </c>
      <c r="C636" t="s">
        <v>5419</v>
      </c>
      <c r="D636">
        <v>105</v>
      </c>
    </row>
    <row r="637" spans="1:4" x14ac:dyDescent="0.55000000000000004">
      <c r="A637" t="s">
        <v>7962</v>
      </c>
      <c r="B637" t="s">
        <v>8010</v>
      </c>
      <c r="C637" t="s">
        <v>5419</v>
      </c>
      <c r="D637">
        <v>105</v>
      </c>
    </row>
    <row r="638" spans="1:4" x14ac:dyDescent="0.55000000000000004">
      <c r="A638" t="s">
        <v>7963</v>
      </c>
      <c r="B638" t="s">
        <v>8010</v>
      </c>
      <c r="C638" t="s">
        <v>5419</v>
      </c>
      <c r="D638">
        <v>105</v>
      </c>
    </row>
    <row r="639" spans="1:4" x14ac:dyDescent="0.55000000000000004">
      <c r="A639" t="s">
        <v>7948</v>
      </c>
      <c r="B639" t="s">
        <v>8010</v>
      </c>
      <c r="C639" t="s">
        <v>8107</v>
      </c>
      <c r="D639">
        <v>106</v>
      </c>
    </row>
    <row r="640" spans="1:4" x14ac:dyDescent="0.55000000000000004">
      <c r="A640" t="s">
        <v>7949</v>
      </c>
      <c r="B640" t="s">
        <v>8010</v>
      </c>
      <c r="C640" t="s">
        <v>8107</v>
      </c>
      <c r="D640">
        <v>106</v>
      </c>
    </row>
    <row r="641" spans="1:4" x14ac:dyDescent="0.55000000000000004">
      <c r="A641" t="s">
        <v>7950</v>
      </c>
      <c r="B641" t="s">
        <v>8010</v>
      </c>
      <c r="C641" t="s">
        <v>8107</v>
      </c>
      <c r="D641">
        <v>106</v>
      </c>
    </row>
    <row r="642" spans="1:4" x14ac:dyDescent="0.55000000000000004">
      <c r="A642" t="s">
        <v>7970</v>
      </c>
      <c r="B642" t="s">
        <v>7997</v>
      </c>
      <c r="C642" t="s">
        <v>8135</v>
      </c>
      <c r="D642">
        <v>107</v>
      </c>
    </row>
    <row r="643" spans="1:4" x14ac:dyDescent="0.55000000000000004">
      <c r="A643" t="s">
        <v>7970</v>
      </c>
      <c r="B643" t="s">
        <v>7998</v>
      </c>
      <c r="C643" t="s">
        <v>8136</v>
      </c>
      <c r="D643">
        <v>108</v>
      </c>
    </row>
    <row r="644" spans="1:4" x14ac:dyDescent="0.55000000000000004">
      <c r="A644" t="s">
        <v>7957</v>
      </c>
      <c r="B644" t="s">
        <v>8157</v>
      </c>
      <c r="C644" t="s">
        <v>8021</v>
      </c>
      <c r="D644">
        <v>109</v>
      </c>
    </row>
    <row r="645" spans="1:4" x14ac:dyDescent="0.55000000000000004">
      <c r="A645" t="s">
        <v>7943</v>
      </c>
      <c r="B645" t="s">
        <v>7999</v>
      </c>
      <c r="C645" t="s">
        <v>8078</v>
      </c>
      <c r="D645">
        <v>110</v>
      </c>
    </row>
    <row r="646" spans="1:4" x14ac:dyDescent="0.55000000000000004">
      <c r="A646" t="s">
        <v>7944</v>
      </c>
      <c r="B646" t="s">
        <v>7999</v>
      </c>
      <c r="C646" t="s">
        <v>8078</v>
      </c>
      <c r="D646">
        <v>110</v>
      </c>
    </row>
    <row r="647" spans="1:4" x14ac:dyDescent="0.55000000000000004">
      <c r="A647" t="s">
        <v>7945</v>
      </c>
      <c r="B647" t="s">
        <v>7999</v>
      </c>
      <c r="C647" t="s">
        <v>8078</v>
      </c>
      <c r="D647">
        <v>110</v>
      </c>
    </row>
    <row r="648" spans="1:4" x14ac:dyDescent="0.55000000000000004">
      <c r="A648" t="s">
        <v>7948</v>
      </c>
      <c r="B648" t="s">
        <v>8011</v>
      </c>
      <c r="C648" t="s">
        <v>8078</v>
      </c>
      <c r="D648">
        <v>110</v>
      </c>
    </row>
    <row r="649" spans="1:4" x14ac:dyDescent="0.55000000000000004">
      <c r="A649" t="s">
        <v>7949</v>
      </c>
      <c r="B649" t="s">
        <v>8011</v>
      </c>
      <c r="C649" t="s">
        <v>8078</v>
      </c>
      <c r="D649">
        <v>110</v>
      </c>
    </row>
    <row r="650" spans="1:4" x14ac:dyDescent="0.55000000000000004">
      <c r="A650" t="s">
        <v>7950</v>
      </c>
      <c r="B650" t="s">
        <v>8011</v>
      </c>
      <c r="C650" t="s">
        <v>8078</v>
      </c>
      <c r="D650">
        <v>110</v>
      </c>
    </row>
    <row r="651" spans="1:4" x14ac:dyDescent="0.55000000000000004">
      <c r="A651" t="s">
        <v>7984</v>
      </c>
      <c r="B651" t="s">
        <v>8169</v>
      </c>
      <c r="C651" t="s">
        <v>8078</v>
      </c>
      <c r="D651">
        <v>110</v>
      </c>
    </row>
    <row r="652" spans="1:4" x14ac:dyDescent="0.55000000000000004">
      <c r="A652" t="s">
        <v>7985</v>
      </c>
      <c r="B652" t="s">
        <v>8017</v>
      </c>
      <c r="C652" t="s">
        <v>5423</v>
      </c>
      <c r="D652">
        <v>111</v>
      </c>
    </row>
    <row r="653" spans="1:4" x14ac:dyDescent="0.55000000000000004">
      <c r="A653" t="s">
        <v>7986</v>
      </c>
      <c r="B653" t="s">
        <v>8017</v>
      </c>
      <c r="C653" t="s">
        <v>5423</v>
      </c>
      <c r="D653">
        <v>111</v>
      </c>
    </row>
    <row r="654" spans="1:4" x14ac:dyDescent="0.55000000000000004">
      <c r="A654" t="s">
        <v>7987</v>
      </c>
      <c r="B654" t="s">
        <v>8017</v>
      </c>
      <c r="C654" t="s">
        <v>5423</v>
      </c>
      <c r="D654">
        <v>111</v>
      </c>
    </row>
    <row r="655" spans="1:4" x14ac:dyDescent="0.55000000000000004">
      <c r="A655" t="s">
        <v>7970</v>
      </c>
      <c r="B655" t="s">
        <v>8000</v>
      </c>
      <c r="C655" t="s">
        <v>5423</v>
      </c>
      <c r="D655">
        <v>111</v>
      </c>
    </row>
    <row r="656" spans="1:4" x14ac:dyDescent="0.55000000000000004">
      <c r="A656" t="s">
        <v>7943</v>
      </c>
      <c r="B656" t="s">
        <v>8000</v>
      </c>
      <c r="C656" t="s">
        <v>5423</v>
      </c>
      <c r="D656">
        <v>111</v>
      </c>
    </row>
    <row r="657" spans="1:4" x14ac:dyDescent="0.55000000000000004">
      <c r="A657" t="s">
        <v>7944</v>
      </c>
      <c r="B657" t="s">
        <v>8000</v>
      </c>
      <c r="C657" t="s">
        <v>5423</v>
      </c>
      <c r="D657">
        <v>111</v>
      </c>
    </row>
    <row r="658" spans="1:4" x14ac:dyDescent="0.55000000000000004">
      <c r="A658" t="s">
        <v>7945</v>
      </c>
      <c r="B658" t="s">
        <v>8000</v>
      </c>
      <c r="C658" t="s">
        <v>5423</v>
      </c>
      <c r="D658">
        <v>111</v>
      </c>
    </row>
    <row r="659" spans="1:4" x14ac:dyDescent="0.55000000000000004">
      <c r="A659" t="s">
        <v>7948</v>
      </c>
      <c r="B659" t="s">
        <v>8014</v>
      </c>
      <c r="C659" t="s">
        <v>5423</v>
      </c>
      <c r="D659">
        <v>111</v>
      </c>
    </row>
    <row r="660" spans="1:4" x14ac:dyDescent="0.55000000000000004">
      <c r="A660" t="s">
        <v>7949</v>
      </c>
      <c r="B660" t="s">
        <v>8014</v>
      </c>
      <c r="C660" t="s">
        <v>5423</v>
      </c>
      <c r="D660">
        <v>111</v>
      </c>
    </row>
    <row r="661" spans="1:4" x14ac:dyDescent="0.55000000000000004">
      <c r="A661" t="s">
        <v>7950</v>
      </c>
      <c r="B661" t="s">
        <v>8014</v>
      </c>
      <c r="C661" t="s">
        <v>5423</v>
      </c>
      <c r="D661">
        <v>111</v>
      </c>
    </row>
    <row r="662" spans="1:4" x14ac:dyDescent="0.55000000000000004">
      <c r="A662" t="s">
        <v>7958</v>
      </c>
      <c r="B662" t="s">
        <v>8017</v>
      </c>
      <c r="C662" t="s">
        <v>5423</v>
      </c>
      <c r="D662">
        <v>111</v>
      </c>
    </row>
    <row r="663" spans="1:4" x14ac:dyDescent="0.55000000000000004">
      <c r="A663" t="s">
        <v>7959</v>
      </c>
      <c r="B663" t="s">
        <v>8017</v>
      </c>
      <c r="C663" t="s">
        <v>5423</v>
      </c>
      <c r="D663">
        <v>111</v>
      </c>
    </row>
    <row r="664" spans="1:4" x14ac:dyDescent="0.55000000000000004">
      <c r="A664" t="s">
        <v>7960</v>
      </c>
      <c r="B664" t="s">
        <v>8017</v>
      </c>
      <c r="C664" t="s">
        <v>5423</v>
      </c>
      <c r="D664">
        <v>111</v>
      </c>
    </row>
    <row r="665" spans="1:4" x14ac:dyDescent="0.55000000000000004">
      <c r="A665" t="s">
        <v>7982</v>
      </c>
      <c r="B665" t="s">
        <v>7994</v>
      </c>
      <c r="C665" t="s">
        <v>8097</v>
      </c>
      <c r="D665">
        <v>112</v>
      </c>
    </row>
    <row r="666" spans="1:4" x14ac:dyDescent="0.55000000000000004">
      <c r="A666" t="s">
        <v>7983</v>
      </c>
      <c r="B666" t="s">
        <v>7994</v>
      </c>
      <c r="C666" t="s">
        <v>8097</v>
      </c>
      <c r="D666">
        <v>112</v>
      </c>
    </row>
    <row r="667" spans="1:4" x14ac:dyDescent="0.55000000000000004">
      <c r="A667" t="s">
        <v>7943</v>
      </c>
      <c r="B667" t="s">
        <v>8012</v>
      </c>
      <c r="C667" t="s">
        <v>8141</v>
      </c>
      <c r="D667">
        <v>113</v>
      </c>
    </row>
    <row r="668" spans="1:4" x14ac:dyDescent="0.55000000000000004">
      <c r="A668" t="s">
        <v>7944</v>
      </c>
      <c r="B668" t="s">
        <v>8012</v>
      </c>
      <c r="C668" t="s">
        <v>8141</v>
      </c>
      <c r="D668">
        <v>113</v>
      </c>
    </row>
    <row r="669" spans="1:4" x14ac:dyDescent="0.55000000000000004">
      <c r="A669" t="s">
        <v>7945</v>
      </c>
      <c r="B669" t="s">
        <v>8012</v>
      </c>
      <c r="C669" t="s">
        <v>8141</v>
      </c>
      <c r="D669">
        <v>113</v>
      </c>
    </row>
    <row r="670" spans="1:4" x14ac:dyDescent="0.55000000000000004">
      <c r="A670" t="s">
        <v>7948</v>
      </c>
      <c r="B670" t="s">
        <v>8016</v>
      </c>
      <c r="C670" t="s">
        <v>8141</v>
      </c>
      <c r="D670">
        <v>113</v>
      </c>
    </row>
    <row r="671" spans="1:4" x14ac:dyDescent="0.55000000000000004">
      <c r="A671" t="s">
        <v>7949</v>
      </c>
      <c r="B671" t="s">
        <v>8016</v>
      </c>
      <c r="C671" t="s">
        <v>8141</v>
      </c>
      <c r="D671">
        <v>113</v>
      </c>
    </row>
    <row r="672" spans="1:4" x14ac:dyDescent="0.55000000000000004">
      <c r="A672" t="s">
        <v>7950</v>
      </c>
      <c r="B672" t="s">
        <v>8016</v>
      </c>
      <c r="C672" t="s">
        <v>8141</v>
      </c>
      <c r="D672">
        <v>113</v>
      </c>
    </row>
    <row r="673" spans="1:4" x14ac:dyDescent="0.55000000000000004">
      <c r="A673" t="s">
        <v>7970</v>
      </c>
      <c r="B673" t="s">
        <v>8002</v>
      </c>
      <c r="C673" t="s">
        <v>8137</v>
      </c>
      <c r="D673">
        <v>114</v>
      </c>
    </row>
    <row r="674" spans="1:4" x14ac:dyDescent="0.55000000000000004">
      <c r="A674" t="s">
        <v>7967</v>
      </c>
      <c r="B674" t="s">
        <v>8014</v>
      </c>
      <c r="C674" t="s">
        <v>8111</v>
      </c>
      <c r="D674">
        <v>115</v>
      </c>
    </row>
    <row r="675" spans="1:4" x14ac:dyDescent="0.55000000000000004">
      <c r="A675" t="s">
        <v>7968</v>
      </c>
      <c r="B675" t="s">
        <v>8014</v>
      </c>
      <c r="C675" t="s">
        <v>8111</v>
      </c>
      <c r="D675">
        <v>115</v>
      </c>
    </row>
    <row r="676" spans="1:4" x14ac:dyDescent="0.55000000000000004">
      <c r="A676" t="s">
        <v>7969</v>
      </c>
      <c r="B676" t="s">
        <v>8014</v>
      </c>
      <c r="C676" t="s">
        <v>8111</v>
      </c>
      <c r="D676">
        <v>115</v>
      </c>
    </row>
    <row r="677" spans="1:4" x14ac:dyDescent="0.55000000000000004">
      <c r="A677" t="s">
        <v>7964</v>
      </c>
      <c r="B677" t="s">
        <v>8014</v>
      </c>
      <c r="C677" t="s">
        <v>8111</v>
      </c>
      <c r="D677">
        <v>115</v>
      </c>
    </row>
    <row r="678" spans="1:4" x14ac:dyDescent="0.55000000000000004">
      <c r="A678" t="s">
        <v>7965</v>
      </c>
      <c r="B678" t="s">
        <v>8014</v>
      </c>
      <c r="C678" t="s">
        <v>8111</v>
      </c>
      <c r="D678">
        <v>115</v>
      </c>
    </row>
    <row r="679" spans="1:4" x14ac:dyDescent="0.55000000000000004">
      <c r="A679" t="s">
        <v>7966</v>
      </c>
      <c r="B679" t="s">
        <v>8014</v>
      </c>
      <c r="C679" t="s">
        <v>8111</v>
      </c>
      <c r="D679">
        <v>115</v>
      </c>
    </row>
    <row r="680" spans="1:4" x14ac:dyDescent="0.55000000000000004">
      <c r="A680" t="s">
        <v>7957</v>
      </c>
      <c r="B680" t="s">
        <v>8142</v>
      </c>
      <c r="C680" t="s">
        <v>7993</v>
      </c>
      <c r="D680">
        <v>116</v>
      </c>
    </row>
    <row r="681" spans="1:4" x14ac:dyDescent="0.55000000000000004">
      <c r="A681" t="s">
        <v>7970</v>
      </c>
      <c r="B681" t="s">
        <v>8003</v>
      </c>
      <c r="C681" t="s">
        <v>8139</v>
      </c>
      <c r="D681">
        <v>117</v>
      </c>
    </row>
    <row r="682" spans="1:4" x14ac:dyDescent="0.55000000000000004">
      <c r="A682" t="s">
        <v>7967</v>
      </c>
      <c r="B682" t="s">
        <v>8017</v>
      </c>
      <c r="C682" t="s">
        <v>8156</v>
      </c>
      <c r="D682">
        <v>118</v>
      </c>
    </row>
    <row r="683" spans="1:4" x14ac:dyDescent="0.55000000000000004">
      <c r="A683" t="s">
        <v>7968</v>
      </c>
      <c r="B683" t="s">
        <v>8017</v>
      </c>
      <c r="C683" t="s">
        <v>8156</v>
      </c>
      <c r="D683">
        <v>118</v>
      </c>
    </row>
    <row r="684" spans="1:4" x14ac:dyDescent="0.55000000000000004">
      <c r="A684" t="s">
        <v>7969</v>
      </c>
      <c r="B684" t="s">
        <v>8017</v>
      </c>
      <c r="C684" t="s">
        <v>8156</v>
      </c>
      <c r="D684">
        <v>118</v>
      </c>
    </row>
    <row r="685" spans="1:4" x14ac:dyDescent="0.55000000000000004">
      <c r="A685" t="s">
        <v>7964</v>
      </c>
      <c r="B685" t="s">
        <v>8017</v>
      </c>
      <c r="C685" t="s">
        <v>8156</v>
      </c>
      <c r="D685">
        <v>118</v>
      </c>
    </row>
    <row r="686" spans="1:4" x14ac:dyDescent="0.55000000000000004">
      <c r="A686" t="s">
        <v>7965</v>
      </c>
      <c r="B686" t="s">
        <v>8017</v>
      </c>
      <c r="C686" t="s">
        <v>8156</v>
      </c>
      <c r="D686">
        <v>118</v>
      </c>
    </row>
    <row r="687" spans="1:4" x14ac:dyDescent="0.55000000000000004">
      <c r="A687" t="s">
        <v>7966</v>
      </c>
      <c r="B687" t="s">
        <v>8017</v>
      </c>
      <c r="C687" t="s">
        <v>8156</v>
      </c>
      <c r="D687">
        <v>118</v>
      </c>
    </row>
    <row r="688" spans="1:4" x14ac:dyDescent="0.55000000000000004">
      <c r="A688" t="s">
        <v>7985</v>
      </c>
      <c r="B688" t="s">
        <v>8022</v>
      </c>
      <c r="C688" t="s">
        <v>8068</v>
      </c>
      <c r="D688">
        <v>119</v>
      </c>
    </row>
    <row r="689" spans="1:4" x14ac:dyDescent="0.55000000000000004">
      <c r="A689" t="s">
        <v>7986</v>
      </c>
      <c r="B689" t="s">
        <v>8022</v>
      </c>
      <c r="C689" t="s">
        <v>8068</v>
      </c>
      <c r="D689">
        <v>119</v>
      </c>
    </row>
    <row r="690" spans="1:4" x14ac:dyDescent="0.55000000000000004">
      <c r="A690" t="s">
        <v>7987</v>
      </c>
      <c r="B690" t="s">
        <v>8022</v>
      </c>
      <c r="C690" t="s">
        <v>8068</v>
      </c>
      <c r="D690">
        <v>119</v>
      </c>
    </row>
    <row r="691" spans="1:4" x14ac:dyDescent="0.55000000000000004">
      <c r="A691" t="s">
        <v>7943</v>
      </c>
      <c r="B691" t="s">
        <v>8004</v>
      </c>
      <c r="C691" t="s">
        <v>8068</v>
      </c>
      <c r="D691">
        <v>119</v>
      </c>
    </row>
    <row r="692" spans="1:4" x14ac:dyDescent="0.55000000000000004">
      <c r="A692" t="s">
        <v>7944</v>
      </c>
      <c r="B692" t="s">
        <v>8004</v>
      </c>
      <c r="C692" t="s">
        <v>8068</v>
      </c>
      <c r="D692">
        <v>119</v>
      </c>
    </row>
    <row r="693" spans="1:4" x14ac:dyDescent="0.55000000000000004">
      <c r="A693" t="s">
        <v>7945</v>
      </c>
      <c r="B693" t="s">
        <v>8004</v>
      </c>
      <c r="C693" t="s">
        <v>8068</v>
      </c>
      <c r="D693">
        <v>119</v>
      </c>
    </row>
    <row r="694" spans="1:4" x14ac:dyDescent="0.55000000000000004">
      <c r="A694" t="s">
        <v>7948</v>
      </c>
      <c r="B694" t="s">
        <v>8017</v>
      </c>
      <c r="C694" t="s">
        <v>8068</v>
      </c>
      <c r="D694">
        <v>119</v>
      </c>
    </row>
    <row r="695" spans="1:4" x14ac:dyDescent="0.55000000000000004">
      <c r="A695" t="s">
        <v>7949</v>
      </c>
      <c r="B695" t="s">
        <v>8017</v>
      </c>
      <c r="C695" t="s">
        <v>8068</v>
      </c>
      <c r="D695">
        <v>119</v>
      </c>
    </row>
    <row r="696" spans="1:4" x14ac:dyDescent="0.55000000000000004">
      <c r="A696" t="s">
        <v>7950</v>
      </c>
      <c r="B696" t="s">
        <v>8017</v>
      </c>
      <c r="C696" t="s">
        <v>8068</v>
      </c>
      <c r="D696">
        <v>119</v>
      </c>
    </row>
    <row r="697" spans="1:4" x14ac:dyDescent="0.55000000000000004">
      <c r="A697" t="s">
        <v>7957</v>
      </c>
      <c r="B697" t="s">
        <v>8010</v>
      </c>
      <c r="C697" t="s">
        <v>8068</v>
      </c>
      <c r="D697">
        <v>119</v>
      </c>
    </row>
    <row r="698" spans="1:4" x14ac:dyDescent="0.55000000000000004">
      <c r="A698" t="s">
        <v>7958</v>
      </c>
      <c r="B698" t="s">
        <v>8022</v>
      </c>
      <c r="C698" t="s">
        <v>8068</v>
      </c>
      <c r="D698">
        <v>119</v>
      </c>
    </row>
    <row r="699" spans="1:4" x14ac:dyDescent="0.55000000000000004">
      <c r="A699" t="s">
        <v>7959</v>
      </c>
      <c r="B699" t="s">
        <v>8022</v>
      </c>
      <c r="C699" t="s">
        <v>8068</v>
      </c>
      <c r="D699">
        <v>119</v>
      </c>
    </row>
    <row r="700" spans="1:4" x14ac:dyDescent="0.55000000000000004">
      <c r="A700" t="s">
        <v>7960</v>
      </c>
      <c r="B700" t="s">
        <v>8022</v>
      </c>
      <c r="C700" t="s">
        <v>8068</v>
      </c>
      <c r="D700">
        <v>119</v>
      </c>
    </row>
    <row r="701" spans="1:4" x14ac:dyDescent="0.55000000000000004">
      <c r="A701" t="s">
        <v>7984</v>
      </c>
      <c r="B701" t="s">
        <v>8167</v>
      </c>
      <c r="C701" t="s">
        <v>8068</v>
      </c>
      <c r="D701">
        <v>119</v>
      </c>
    </row>
    <row r="702" spans="1:4" x14ac:dyDescent="0.55000000000000004">
      <c r="A702" t="s">
        <v>7957</v>
      </c>
      <c r="B702" t="s">
        <v>8014</v>
      </c>
      <c r="C702" t="s">
        <v>8154</v>
      </c>
      <c r="D702">
        <v>120</v>
      </c>
    </row>
    <row r="703" spans="1:4" x14ac:dyDescent="0.55000000000000004">
      <c r="A703" t="s">
        <v>7985</v>
      </c>
      <c r="B703" t="s">
        <v>8093</v>
      </c>
      <c r="C703" t="s">
        <v>7974</v>
      </c>
      <c r="D703" t="s">
        <v>7973</v>
      </c>
    </row>
    <row r="704" spans="1:4" x14ac:dyDescent="0.55000000000000004">
      <c r="A704" t="s">
        <v>7986</v>
      </c>
      <c r="B704" t="s">
        <v>8093</v>
      </c>
      <c r="C704" t="s">
        <v>7974</v>
      </c>
      <c r="D704" t="s">
        <v>7973</v>
      </c>
    </row>
    <row r="705" spans="1:4" x14ac:dyDescent="0.55000000000000004">
      <c r="A705" t="s">
        <v>7987</v>
      </c>
      <c r="B705" t="s">
        <v>8093</v>
      </c>
      <c r="C705" t="s">
        <v>7974</v>
      </c>
      <c r="D705" t="s">
        <v>7973</v>
      </c>
    </row>
    <row r="706" spans="1:4" x14ac:dyDescent="0.55000000000000004">
      <c r="A706" t="s">
        <v>7951</v>
      </c>
      <c r="B706" t="s">
        <v>8093</v>
      </c>
      <c r="C706" t="s">
        <v>7974</v>
      </c>
      <c r="D706" t="s">
        <v>7973</v>
      </c>
    </row>
    <row r="707" spans="1:4" x14ac:dyDescent="0.55000000000000004">
      <c r="A707" t="s">
        <v>7952</v>
      </c>
      <c r="B707" t="s">
        <v>8093</v>
      </c>
      <c r="C707" t="s">
        <v>7974</v>
      </c>
      <c r="D707" t="s">
        <v>7973</v>
      </c>
    </row>
    <row r="708" spans="1:4" x14ac:dyDescent="0.55000000000000004">
      <c r="A708" t="s">
        <v>7953</v>
      </c>
      <c r="B708" t="s">
        <v>8093</v>
      </c>
      <c r="C708" t="s">
        <v>7974</v>
      </c>
      <c r="D708" t="s">
        <v>7973</v>
      </c>
    </row>
    <row r="709" spans="1:4" x14ac:dyDescent="0.55000000000000004">
      <c r="A709" t="s">
        <v>7954</v>
      </c>
      <c r="B709" t="s">
        <v>8093</v>
      </c>
      <c r="C709" t="s">
        <v>7974</v>
      </c>
      <c r="D709" t="s">
        <v>7973</v>
      </c>
    </row>
    <row r="710" spans="1:4" x14ac:dyDescent="0.55000000000000004">
      <c r="A710" t="s">
        <v>7955</v>
      </c>
      <c r="B710" t="s">
        <v>8093</v>
      </c>
      <c r="C710" t="s">
        <v>7974</v>
      </c>
      <c r="D710" t="s">
        <v>7973</v>
      </c>
    </row>
    <row r="711" spans="1:4" x14ac:dyDescent="0.55000000000000004">
      <c r="A711" t="s">
        <v>7956</v>
      </c>
      <c r="B711" t="s">
        <v>8093</v>
      </c>
      <c r="C711" t="s">
        <v>7974</v>
      </c>
      <c r="D711" t="s">
        <v>7973</v>
      </c>
    </row>
    <row r="712" spans="1:4" x14ac:dyDescent="0.55000000000000004">
      <c r="A712" t="s">
        <v>7982</v>
      </c>
      <c r="B712" t="s">
        <v>8093</v>
      </c>
      <c r="C712" t="s">
        <v>7974</v>
      </c>
      <c r="D712" t="s">
        <v>7973</v>
      </c>
    </row>
    <row r="713" spans="1:4" x14ac:dyDescent="0.55000000000000004">
      <c r="A713" t="s">
        <v>7983</v>
      </c>
      <c r="B713" t="s">
        <v>8093</v>
      </c>
      <c r="C713" t="s">
        <v>7974</v>
      </c>
      <c r="D713" t="s">
        <v>7973</v>
      </c>
    </row>
    <row r="714" spans="1:4" x14ac:dyDescent="0.55000000000000004">
      <c r="A714" t="s">
        <v>7942</v>
      </c>
      <c r="B714" t="s">
        <v>8093</v>
      </c>
      <c r="C714" t="s">
        <v>7974</v>
      </c>
      <c r="D714" t="s">
        <v>7973</v>
      </c>
    </row>
    <row r="715" spans="1:4" x14ac:dyDescent="0.55000000000000004">
      <c r="A715" t="s">
        <v>7946</v>
      </c>
      <c r="B715" t="s">
        <v>8093</v>
      </c>
      <c r="C715" t="s">
        <v>7974</v>
      </c>
      <c r="D715" t="s">
        <v>7973</v>
      </c>
    </row>
    <row r="716" spans="1:4" x14ac:dyDescent="0.55000000000000004">
      <c r="A716" t="s">
        <v>7947</v>
      </c>
      <c r="B716" t="s">
        <v>8093</v>
      </c>
      <c r="C716" t="s">
        <v>7974</v>
      </c>
      <c r="D716" t="s">
        <v>7973</v>
      </c>
    </row>
    <row r="717" spans="1:4" x14ac:dyDescent="0.55000000000000004">
      <c r="A717" t="s">
        <v>7970</v>
      </c>
      <c r="B717" t="s">
        <v>8093</v>
      </c>
      <c r="C717" t="s">
        <v>7974</v>
      </c>
      <c r="D717" t="s">
        <v>7973</v>
      </c>
    </row>
    <row r="718" spans="1:4" x14ac:dyDescent="0.55000000000000004">
      <c r="A718" t="s">
        <v>7943</v>
      </c>
      <c r="B718" t="s">
        <v>8093</v>
      </c>
      <c r="C718" t="s">
        <v>7974</v>
      </c>
      <c r="D718" t="s">
        <v>7973</v>
      </c>
    </row>
    <row r="719" spans="1:4" x14ac:dyDescent="0.55000000000000004">
      <c r="A719" t="s">
        <v>7944</v>
      </c>
      <c r="B719" t="s">
        <v>8093</v>
      </c>
      <c r="C719" t="s">
        <v>7974</v>
      </c>
      <c r="D719" t="s">
        <v>7973</v>
      </c>
    </row>
    <row r="720" spans="1:4" x14ac:dyDescent="0.55000000000000004">
      <c r="A720" t="s">
        <v>7945</v>
      </c>
      <c r="B720" t="s">
        <v>8093</v>
      </c>
      <c r="C720" t="s">
        <v>7974</v>
      </c>
      <c r="D720" t="s">
        <v>7973</v>
      </c>
    </row>
    <row r="721" spans="1:4" x14ac:dyDescent="0.55000000000000004">
      <c r="A721" t="s">
        <v>7961</v>
      </c>
      <c r="B721" t="s">
        <v>8093</v>
      </c>
      <c r="C721" t="s">
        <v>7974</v>
      </c>
      <c r="D721" t="s">
        <v>7973</v>
      </c>
    </row>
    <row r="722" spans="1:4" x14ac:dyDescent="0.55000000000000004">
      <c r="A722" t="s">
        <v>7962</v>
      </c>
      <c r="B722" t="s">
        <v>8093</v>
      </c>
      <c r="C722" t="s">
        <v>7974</v>
      </c>
      <c r="D722" t="s">
        <v>7973</v>
      </c>
    </row>
    <row r="723" spans="1:4" x14ac:dyDescent="0.55000000000000004">
      <c r="A723" t="s">
        <v>7963</v>
      </c>
      <c r="B723" t="s">
        <v>8093</v>
      </c>
      <c r="C723" t="s">
        <v>7974</v>
      </c>
      <c r="D723" t="s">
        <v>7973</v>
      </c>
    </row>
    <row r="724" spans="1:4" x14ac:dyDescent="0.55000000000000004">
      <c r="A724" t="s">
        <v>7967</v>
      </c>
      <c r="B724" t="s">
        <v>8093</v>
      </c>
      <c r="C724" t="s">
        <v>7974</v>
      </c>
      <c r="D724" t="s">
        <v>7973</v>
      </c>
    </row>
    <row r="725" spans="1:4" x14ac:dyDescent="0.55000000000000004">
      <c r="A725" t="s">
        <v>7968</v>
      </c>
      <c r="B725" t="s">
        <v>8093</v>
      </c>
      <c r="C725" t="s">
        <v>7974</v>
      </c>
      <c r="D725" t="s">
        <v>7973</v>
      </c>
    </row>
    <row r="726" spans="1:4" x14ac:dyDescent="0.55000000000000004">
      <c r="A726" t="s">
        <v>7969</v>
      </c>
      <c r="B726" t="s">
        <v>8093</v>
      </c>
      <c r="C726" t="s">
        <v>7974</v>
      </c>
      <c r="D726" t="s">
        <v>7973</v>
      </c>
    </row>
    <row r="727" spans="1:4" x14ac:dyDescent="0.55000000000000004">
      <c r="A727" t="s">
        <v>7948</v>
      </c>
      <c r="B727" t="s">
        <v>8093</v>
      </c>
      <c r="C727" t="s">
        <v>7974</v>
      </c>
      <c r="D727" t="s">
        <v>7973</v>
      </c>
    </row>
    <row r="728" spans="1:4" x14ac:dyDescent="0.55000000000000004">
      <c r="A728" t="s">
        <v>7949</v>
      </c>
      <c r="B728" t="s">
        <v>8093</v>
      </c>
      <c r="C728" t="s">
        <v>7974</v>
      </c>
      <c r="D728" t="s">
        <v>7973</v>
      </c>
    </row>
    <row r="729" spans="1:4" x14ac:dyDescent="0.55000000000000004">
      <c r="A729" t="s">
        <v>7950</v>
      </c>
      <c r="B729" t="s">
        <v>8093</v>
      </c>
      <c r="C729" t="s">
        <v>7974</v>
      </c>
      <c r="D729" t="s">
        <v>7973</v>
      </c>
    </row>
    <row r="730" spans="1:4" x14ac:dyDescent="0.55000000000000004">
      <c r="A730" t="s">
        <v>7964</v>
      </c>
      <c r="B730" t="s">
        <v>8093</v>
      </c>
      <c r="C730" t="s">
        <v>7974</v>
      </c>
      <c r="D730" t="s">
        <v>7973</v>
      </c>
    </row>
    <row r="731" spans="1:4" x14ac:dyDescent="0.55000000000000004">
      <c r="A731" t="s">
        <v>7965</v>
      </c>
      <c r="B731" t="s">
        <v>8093</v>
      </c>
      <c r="C731" t="s">
        <v>7974</v>
      </c>
      <c r="D731" t="s">
        <v>7973</v>
      </c>
    </row>
    <row r="732" spans="1:4" x14ac:dyDescent="0.55000000000000004">
      <c r="A732" t="s">
        <v>7966</v>
      </c>
      <c r="B732" t="s">
        <v>8093</v>
      </c>
      <c r="C732" t="s">
        <v>7974</v>
      </c>
      <c r="D732" t="s">
        <v>7973</v>
      </c>
    </row>
    <row r="733" spans="1:4" x14ac:dyDescent="0.55000000000000004">
      <c r="A733" t="s">
        <v>7957</v>
      </c>
      <c r="B733" t="s">
        <v>8093</v>
      </c>
      <c r="C733" t="s">
        <v>7974</v>
      </c>
      <c r="D733" t="s">
        <v>7973</v>
      </c>
    </row>
    <row r="734" spans="1:4" x14ac:dyDescent="0.55000000000000004">
      <c r="A734" t="s">
        <v>7958</v>
      </c>
      <c r="B734" t="s">
        <v>8093</v>
      </c>
      <c r="C734" t="s">
        <v>7974</v>
      </c>
      <c r="D734" t="s">
        <v>7973</v>
      </c>
    </row>
    <row r="735" spans="1:4" x14ac:dyDescent="0.55000000000000004">
      <c r="A735" t="s">
        <v>7959</v>
      </c>
      <c r="B735" t="s">
        <v>8093</v>
      </c>
      <c r="C735" t="s">
        <v>7974</v>
      </c>
      <c r="D735" t="s">
        <v>7973</v>
      </c>
    </row>
    <row r="736" spans="1:4" x14ac:dyDescent="0.55000000000000004">
      <c r="A736" t="s">
        <v>7960</v>
      </c>
      <c r="B736" t="s">
        <v>8093</v>
      </c>
      <c r="C736" t="s">
        <v>7974</v>
      </c>
      <c r="D736" t="s">
        <v>7973</v>
      </c>
    </row>
    <row r="737" spans="1:4" x14ac:dyDescent="0.55000000000000004">
      <c r="A737" t="s">
        <v>7984</v>
      </c>
      <c r="B737" t="s">
        <v>8093</v>
      </c>
      <c r="C737" t="s">
        <v>7974</v>
      </c>
      <c r="D737" t="s">
        <v>7973</v>
      </c>
    </row>
  </sheetData>
  <sortState xmlns:xlrd2="http://schemas.microsoft.com/office/spreadsheetml/2017/richdata2" ref="A2:D737">
    <sortCondition ref="D2:D737"/>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3AFA2-895E-4FDC-941E-DAA071E21856}">
  <dimension ref="A1:B5"/>
  <sheetViews>
    <sheetView workbookViewId="0">
      <selection activeCell="B1" sqref="B1"/>
    </sheetView>
  </sheetViews>
  <sheetFormatPr defaultRowHeight="14.4" x14ac:dyDescent="0.55000000000000004"/>
  <sheetData>
    <row r="1" spans="1:2" x14ac:dyDescent="0.55000000000000004">
      <c r="A1" t="s">
        <v>8241</v>
      </c>
    </row>
    <row r="2" spans="1:2" x14ac:dyDescent="0.55000000000000004">
      <c r="A2" t="s">
        <v>8242</v>
      </c>
      <c r="B2" t="s">
        <v>8243</v>
      </c>
    </row>
    <row r="3" spans="1:2" x14ac:dyDescent="0.55000000000000004">
      <c r="A3">
        <v>1001</v>
      </c>
      <c r="B3">
        <v>3</v>
      </c>
    </row>
    <row r="4" spans="1:2" x14ac:dyDescent="0.55000000000000004">
      <c r="A4">
        <v>1000</v>
      </c>
      <c r="B4">
        <v>4</v>
      </c>
    </row>
    <row r="5" spans="1:2" x14ac:dyDescent="0.55000000000000004">
      <c r="A5">
        <v>-999999</v>
      </c>
      <c r="B5">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71008-3CFD-4FED-A9E9-495063F4DD27}">
  <dimension ref="A1:C10"/>
  <sheetViews>
    <sheetView workbookViewId="0"/>
  </sheetViews>
  <sheetFormatPr defaultRowHeight="14.4" x14ac:dyDescent="0.55000000000000004"/>
  <cols>
    <col min="2" max="2" width="14.1015625" bestFit="1" customWidth="1"/>
  </cols>
  <sheetData>
    <row r="1" spans="1:3" x14ac:dyDescent="0.55000000000000004">
      <c r="A1" t="s">
        <v>8244</v>
      </c>
    </row>
    <row r="2" spans="1:3" x14ac:dyDescent="0.55000000000000004">
      <c r="A2" t="s">
        <v>8245</v>
      </c>
      <c r="B2" t="s">
        <v>8246</v>
      </c>
      <c r="C2" t="s">
        <v>4</v>
      </c>
    </row>
    <row r="3" spans="1:3" x14ac:dyDescent="0.55000000000000004">
      <c r="A3">
        <v>4</v>
      </c>
      <c r="B3" t="s">
        <v>1572</v>
      </c>
      <c r="C3">
        <v>13</v>
      </c>
    </row>
    <row r="4" spans="1:3" x14ac:dyDescent="0.55000000000000004">
      <c r="A4">
        <v>10</v>
      </c>
      <c r="B4" t="s">
        <v>1563</v>
      </c>
      <c r="C4">
        <v>10</v>
      </c>
    </row>
    <row r="5" spans="1:3" x14ac:dyDescent="0.55000000000000004">
      <c r="A5">
        <v>11</v>
      </c>
      <c r="B5" t="s">
        <v>1566</v>
      </c>
      <c r="C5">
        <v>11</v>
      </c>
    </row>
    <row r="6" spans="1:3" x14ac:dyDescent="0.55000000000000004">
      <c r="A6">
        <v>12</v>
      </c>
      <c r="B6" t="s">
        <v>1596</v>
      </c>
      <c r="C6">
        <v>21</v>
      </c>
    </row>
    <row r="7" spans="1:3" x14ac:dyDescent="0.55000000000000004">
      <c r="A7">
        <v>15</v>
      </c>
      <c r="B7" t="s">
        <v>1596</v>
      </c>
      <c r="C7">
        <v>21</v>
      </c>
    </row>
    <row r="8" spans="1:3" x14ac:dyDescent="0.55000000000000004">
      <c r="A8">
        <v>16</v>
      </c>
      <c r="B8" t="s">
        <v>1602</v>
      </c>
      <c r="C8">
        <v>23</v>
      </c>
    </row>
    <row r="9" spans="1:3" x14ac:dyDescent="0.55000000000000004">
      <c r="A9">
        <v>17</v>
      </c>
      <c r="B9" t="s">
        <v>1608</v>
      </c>
      <c r="C9">
        <v>25</v>
      </c>
    </row>
    <row r="10" spans="1:3" x14ac:dyDescent="0.55000000000000004">
      <c r="A10">
        <v>999</v>
      </c>
      <c r="B10" t="s">
        <v>135</v>
      </c>
      <c r="C10">
        <v>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5EDC2-CA2B-4FE5-A05C-149C4B83A74D}">
  <dimension ref="A1:C11"/>
  <sheetViews>
    <sheetView workbookViewId="0"/>
  </sheetViews>
  <sheetFormatPr defaultRowHeight="14.4" x14ac:dyDescent="0.55000000000000004"/>
  <cols>
    <col min="2" max="2" width="14.1015625" bestFit="1" customWidth="1"/>
  </cols>
  <sheetData>
    <row r="1" spans="1:3" x14ac:dyDescent="0.55000000000000004">
      <c r="A1" t="s">
        <v>8247</v>
      </c>
    </row>
    <row r="2" spans="1:3" x14ac:dyDescent="0.55000000000000004">
      <c r="A2" t="s">
        <v>8248</v>
      </c>
      <c r="B2" t="s">
        <v>8246</v>
      </c>
      <c r="C2" t="s">
        <v>4</v>
      </c>
    </row>
    <row r="3" spans="1:3" x14ac:dyDescent="0.55000000000000004">
      <c r="A3">
        <v>15</v>
      </c>
      <c r="B3" t="s">
        <v>1578</v>
      </c>
      <c r="C3">
        <v>15</v>
      </c>
    </row>
    <row r="4" spans="1:3" x14ac:dyDescent="0.55000000000000004">
      <c r="A4">
        <v>16</v>
      </c>
      <c r="B4" t="s">
        <v>1581</v>
      </c>
      <c r="C4">
        <v>16</v>
      </c>
    </row>
    <row r="5" spans="1:3" x14ac:dyDescent="0.55000000000000004">
      <c r="A5">
        <v>31</v>
      </c>
      <c r="B5" t="s">
        <v>1584</v>
      </c>
      <c r="C5">
        <v>17</v>
      </c>
    </row>
    <row r="6" spans="1:3" x14ac:dyDescent="0.55000000000000004">
      <c r="A6">
        <v>7</v>
      </c>
      <c r="B6" t="s">
        <v>1593</v>
      </c>
      <c r="C6">
        <v>20</v>
      </c>
    </row>
    <row r="7" spans="1:3" x14ac:dyDescent="0.55000000000000004">
      <c r="A7">
        <v>9</v>
      </c>
      <c r="B7" t="s">
        <v>1590</v>
      </c>
      <c r="C7">
        <v>19</v>
      </c>
    </row>
    <row r="8" spans="1:3" x14ac:dyDescent="0.55000000000000004">
      <c r="A8">
        <v>22</v>
      </c>
      <c r="B8" t="s">
        <v>1599</v>
      </c>
      <c r="C8">
        <v>22</v>
      </c>
    </row>
    <row r="9" spans="1:3" x14ac:dyDescent="0.55000000000000004">
      <c r="A9">
        <v>26</v>
      </c>
      <c r="B9" t="s">
        <v>1611</v>
      </c>
      <c r="C9">
        <v>26</v>
      </c>
    </row>
    <row r="10" spans="1:3" x14ac:dyDescent="0.55000000000000004">
      <c r="A10">
        <v>27</v>
      </c>
      <c r="B10" t="s">
        <v>1614</v>
      </c>
      <c r="C10">
        <v>27</v>
      </c>
    </row>
    <row r="11" spans="1:3" x14ac:dyDescent="0.55000000000000004">
      <c r="A11">
        <v>999</v>
      </c>
      <c r="B11" t="s">
        <v>135</v>
      </c>
      <c r="C11">
        <v>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09EB9-ECED-424A-9865-0563643CDFE7}">
  <dimension ref="A1:E13"/>
  <sheetViews>
    <sheetView workbookViewId="0">
      <selection activeCell="F1" sqref="F1:L16"/>
    </sheetView>
  </sheetViews>
  <sheetFormatPr defaultRowHeight="14.4" x14ac:dyDescent="0.55000000000000004"/>
  <cols>
    <col min="2" max="2" width="15.83984375" bestFit="1" customWidth="1"/>
    <col min="4" max="4" width="13.83984375" bestFit="1" customWidth="1"/>
  </cols>
  <sheetData>
    <row r="1" spans="1:5" x14ac:dyDescent="0.55000000000000004">
      <c r="A1" t="s">
        <v>8249</v>
      </c>
    </row>
    <row r="2" spans="1:5" x14ac:dyDescent="0.55000000000000004">
      <c r="A2" t="s">
        <v>8250</v>
      </c>
      <c r="B2" t="s">
        <v>8253</v>
      </c>
      <c r="C2" t="s">
        <v>8251</v>
      </c>
      <c r="D2" t="s">
        <v>8252</v>
      </c>
      <c r="E2" t="s">
        <v>4</v>
      </c>
    </row>
    <row r="3" spans="1:5" x14ac:dyDescent="0.55000000000000004">
      <c r="A3">
        <v>3</v>
      </c>
      <c r="D3" t="s">
        <v>1426</v>
      </c>
      <c r="E3">
        <v>1</v>
      </c>
    </row>
    <row r="4" spans="1:5" x14ac:dyDescent="0.55000000000000004">
      <c r="A4">
        <v>1</v>
      </c>
      <c r="B4">
        <v>5</v>
      </c>
    </row>
    <row r="5" spans="1:5" x14ac:dyDescent="0.55000000000000004">
      <c r="B5">
        <v>6</v>
      </c>
    </row>
    <row r="6" spans="1:5" x14ac:dyDescent="0.55000000000000004">
      <c r="C6" t="s">
        <v>8254</v>
      </c>
      <c r="D6" t="s">
        <v>1468</v>
      </c>
      <c r="E6">
        <v>15</v>
      </c>
    </row>
    <row r="7" spans="1:5" x14ac:dyDescent="0.55000000000000004">
      <c r="C7" s="58" t="s">
        <v>8259</v>
      </c>
      <c r="D7" t="s">
        <v>1465</v>
      </c>
      <c r="E7">
        <v>14</v>
      </c>
    </row>
    <row r="8" spans="1:5" x14ac:dyDescent="0.55000000000000004">
      <c r="C8" t="s">
        <v>8258</v>
      </c>
      <c r="D8" t="s">
        <v>1465</v>
      </c>
      <c r="E8">
        <v>14</v>
      </c>
    </row>
    <row r="9" spans="1:5" x14ac:dyDescent="0.55000000000000004">
      <c r="A9">
        <v>2</v>
      </c>
      <c r="B9">
        <v>7</v>
      </c>
    </row>
    <row r="10" spans="1:5" x14ac:dyDescent="0.55000000000000004">
      <c r="B10">
        <v>-999999</v>
      </c>
    </row>
    <row r="11" spans="1:5" x14ac:dyDescent="0.55000000000000004">
      <c r="C11" t="s">
        <v>8256</v>
      </c>
      <c r="D11" t="s">
        <v>1459</v>
      </c>
      <c r="E11">
        <v>12</v>
      </c>
    </row>
    <row r="12" spans="1:5" x14ac:dyDescent="0.55000000000000004">
      <c r="C12" t="s">
        <v>8255</v>
      </c>
      <c r="D12" t="s">
        <v>1456</v>
      </c>
      <c r="E12">
        <v>11</v>
      </c>
    </row>
    <row r="13" spans="1:5" x14ac:dyDescent="0.55000000000000004">
      <c r="C13" s="58" t="s">
        <v>8257</v>
      </c>
      <c r="D13" t="s">
        <v>1456</v>
      </c>
      <c r="E13">
        <v>11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DE7FE-86A8-4294-AB2E-DA0AA8F7BFBA}">
  <dimension ref="A1:F33"/>
  <sheetViews>
    <sheetView workbookViewId="0"/>
  </sheetViews>
  <sheetFormatPr defaultRowHeight="14.4" x14ac:dyDescent="0.55000000000000004"/>
  <cols>
    <col min="1" max="1" width="13.578125" bestFit="1" customWidth="1"/>
    <col min="2" max="2" width="13.578125" customWidth="1"/>
    <col min="3" max="3" width="11.47265625" bestFit="1" customWidth="1"/>
    <col min="7" max="7" width="35.7890625" customWidth="1"/>
  </cols>
  <sheetData>
    <row r="1" spans="1:4" x14ac:dyDescent="0.55000000000000004">
      <c r="A1" t="s">
        <v>8261</v>
      </c>
    </row>
    <row r="2" spans="1:4" x14ac:dyDescent="0.55000000000000004">
      <c r="A2" t="s">
        <v>7971</v>
      </c>
      <c r="B2" t="s">
        <v>8242</v>
      </c>
      <c r="C2" t="s">
        <v>8262</v>
      </c>
      <c r="D2" t="s">
        <v>8243</v>
      </c>
    </row>
    <row r="3" spans="1:4" x14ac:dyDescent="0.55000000000000004">
      <c r="A3" t="s">
        <v>6876</v>
      </c>
      <c r="C3" t="s">
        <v>6328</v>
      </c>
    </row>
    <row r="4" spans="1:4" x14ac:dyDescent="0.55000000000000004">
      <c r="A4" t="s">
        <v>6876</v>
      </c>
      <c r="B4">
        <v>-999999</v>
      </c>
      <c r="C4" t="s">
        <v>6328</v>
      </c>
      <c r="D4">
        <v>1</v>
      </c>
    </row>
    <row r="5" spans="1:4" x14ac:dyDescent="0.55000000000000004">
      <c r="A5" t="s">
        <v>6323</v>
      </c>
      <c r="C5" t="s">
        <v>6323</v>
      </c>
    </row>
    <row r="6" spans="1:4" x14ac:dyDescent="0.55000000000000004">
      <c r="A6" t="s">
        <v>6323</v>
      </c>
      <c r="B6">
        <v>-999999</v>
      </c>
      <c r="C6" t="s">
        <v>6323</v>
      </c>
      <c r="D6">
        <v>0</v>
      </c>
    </row>
    <row r="7" spans="1:4" x14ac:dyDescent="0.55000000000000004">
      <c r="A7" t="s">
        <v>8225</v>
      </c>
      <c r="C7" t="s">
        <v>6900</v>
      </c>
    </row>
    <row r="8" spans="1:4" x14ac:dyDescent="0.55000000000000004">
      <c r="A8" t="s">
        <v>8224</v>
      </c>
      <c r="C8" t="s">
        <v>6900</v>
      </c>
    </row>
    <row r="9" spans="1:4" x14ac:dyDescent="0.55000000000000004">
      <c r="A9" t="s">
        <v>6954</v>
      </c>
      <c r="C9" t="s">
        <v>6335</v>
      </c>
    </row>
    <row r="10" spans="1:4" x14ac:dyDescent="0.55000000000000004">
      <c r="A10" t="s">
        <v>6954</v>
      </c>
      <c r="B10">
        <v>-999999</v>
      </c>
      <c r="C10" t="s">
        <v>6335</v>
      </c>
      <c r="D10" t="s">
        <v>7973</v>
      </c>
    </row>
    <row r="11" spans="1:4" x14ac:dyDescent="0.55000000000000004">
      <c r="A11" t="s">
        <v>6954</v>
      </c>
      <c r="B11" t="s">
        <v>7974</v>
      </c>
      <c r="C11" t="s">
        <v>6335</v>
      </c>
      <c r="D11" t="s">
        <v>7973</v>
      </c>
    </row>
    <row r="12" spans="1:4" x14ac:dyDescent="0.55000000000000004">
      <c r="A12" t="s">
        <v>6915</v>
      </c>
      <c r="C12" t="s">
        <v>6887</v>
      </c>
    </row>
    <row r="13" spans="1:4" x14ac:dyDescent="0.55000000000000004">
      <c r="A13" t="s">
        <v>6915</v>
      </c>
      <c r="B13">
        <v>-999999</v>
      </c>
      <c r="C13" t="s">
        <v>6887</v>
      </c>
      <c r="D13">
        <v>0</v>
      </c>
    </row>
    <row r="14" spans="1:4" x14ac:dyDescent="0.55000000000000004">
      <c r="A14" t="s">
        <v>6325</v>
      </c>
      <c r="C14" t="s">
        <v>6325</v>
      </c>
    </row>
    <row r="15" spans="1:4" x14ac:dyDescent="0.55000000000000004">
      <c r="A15" t="s">
        <v>6325</v>
      </c>
      <c r="B15">
        <v>-999999</v>
      </c>
      <c r="C15" t="s">
        <v>6325</v>
      </c>
      <c r="D15">
        <v>0</v>
      </c>
    </row>
    <row r="16" spans="1:4" x14ac:dyDescent="0.55000000000000004">
      <c r="A16" t="s">
        <v>6911</v>
      </c>
      <c r="C16" t="s">
        <v>6911</v>
      </c>
    </row>
    <row r="17" spans="1:4" x14ac:dyDescent="0.55000000000000004">
      <c r="A17" t="s">
        <v>6911</v>
      </c>
      <c r="B17">
        <v>-9999</v>
      </c>
      <c r="C17" t="s">
        <v>6911</v>
      </c>
      <c r="D17">
        <v>0</v>
      </c>
    </row>
    <row r="18" spans="1:4" x14ac:dyDescent="0.55000000000000004">
      <c r="A18" t="s">
        <v>6910</v>
      </c>
      <c r="C18" t="s">
        <v>6910</v>
      </c>
    </row>
    <row r="19" spans="1:4" x14ac:dyDescent="0.55000000000000004">
      <c r="A19" t="s">
        <v>6910</v>
      </c>
      <c r="B19">
        <v>-999999</v>
      </c>
      <c r="C19" t="s">
        <v>6910</v>
      </c>
      <c r="D19">
        <v>0</v>
      </c>
    </row>
    <row r="20" spans="1:4" x14ac:dyDescent="0.55000000000000004">
      <c r="A20" t="s">
        <v>8217</v>
      </c>
      <c r="C20" t="s">
        <v>6333</v>
      </c>
    </row>
    <row r="21" spans="1:4" x14ac:dyDescent="0.55000000000000004">
      <c r="A21" t="s">
        <v>8217</v>
      </c>
      <c r="B21">
        <v>-999999</v>
      </c>
      <c r="C21" t="s">
        <v>6333</v>
      </c>
      <c r="D21">
        <v>0</v>
      </c>
    </row>
    <row r="22" spans="1:4" x14ac:dyDescent="0.55000000000000004">
      <c r="A22" t="s">
        <v>6896</v>
      </c>
      <c r="C22" t="s">
        <v>6896</v>
      </c>
    </row>
    <row r="23" spans="1:4" x14ac:dyDescent="0.55000000000000004">
      <c r="A23" t="s">
        <v>6896</v>
      </c>
      <c r="B23">
        <v>-999999</v>
      </c>
      <c r="C23" t="s">
        <v>6896</v>
      </c>
      <c r="D23">
        <v>0</v>
      </c>
    </row>
    <row r="24" spans="1:4" x14ac:dyDescent="0.55000000000000004">
      <c r="A24" t="s">
        <v>6870</v>
      </c>
      <c r="C24" t="s">
        <v>6315</v>
      </c>
    </row>
    <row r="25" spans="1:4" x14ac:dyDescent="0.55000000000000004">
      <c r="A25" t="s">
        <v>6870</v>
      </c>
      <c r="B25">
        <v>-999999</v>
      </c>
      <c r="C25" t="s">
        <v>6315</v>
      </c>
      <c r="D25">
        <v>0</v>
      </c>
    </row>
    <row r="26" spans="1:4" x14ac:dyDescent="0.55000000000000004">
      <c r="A26" t="s">
        <v>6324</v>
      </c>
      <c r="C26" t="s">
        <v>6324</v>
      </c>
    </row>
    <row r="27" spans="1:4" x14ac:dyDescent="0.55000000000000004">
      <c r="A27" t="s">
        <v>6324</v>
      </c>
      <c r="B27">
        <v>-999999</v>
      </c>
      <c r="C27" t="s">
        <v>6324</v>
      </c>
      <c r="D27">
        <v>0</v>
      </c>
    </row>
    <row r="33" spans="6:6" x14ac:dyDescent="0.55000000000000004">
      <c r="F33" t="s">
        <v>8260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82053-D5C2-4B90-9703-C811BEEF1BF5}">
  <dimension ref="A1:I2009"/>
  <sheetViews>
    <sheetView tabSelected="1" workbookViewId="0">
      <pane ySplit="1" topLeftCell="A2" activePane="bottomLeft" state="frozen"/>
      <selection pane="bottomLeft" activeCell="A2" sqref="A2"/>
    </sheetView>
  </sheetViews>
  <sheetFormatPr defaultRowHeight="14.4" x14ac:dyDescent="0.55000000000000004"/>
  <cols>
    <col min="1" max="1" width="23.62890625" bestFit="1" customWidth="1"/>
    <col min="2" max="2" width="36.5234375" bestFit="1" customWidth="1"/>
    <col min="4" max="4" width="11" customWidth="1"/>
    <col min="5" max="5" width="9.5234375" bestFit="1" customWidth="1"/>
    <col min="6" max="6" width="30.26171875" bestFit="1" customWidth="1"/>
    <col min="7" max="7" width="17.62890625" customWidth="1"/>
    <col min="8" max="8" width="44.734375" customWidth="1"/>
  </cols>
  <sheetData>
    <row r="1" spans="1:9" ht="42.6" x14ac:dyDescent="0.55000000000000004">
      <c r="A1" s="22" t="s">
        <v>6956</v>
      </c>
      <c r="B1" s="23" t="s">
        <v>6955</v>
      </c>
      <c r="C1" s="23" t="s">
        <v>6957</v>
      </c>
      <c r="D1" s="24" t="s">
        <v>6960</v>
      </c>
      <c r="E1" s="25" t="s">
        <v>6958</v>
      </c>
      <c r="F1" s="25" t="s">
        <v>6959</v>
      </c>
      <c r="G1" s="25" t="s">
        <v>6961</v>
      </c>
      <c r="H1" s="25" t="s">
        <v>3</v>
      </c>
      <c r="I1" s="21"/>
    </row>
    <row r="2" spans="1:9" x14ac:dyDescent="0.55000000000000004">
      <c r="A2" t="s">
        <v>6742</v>
      </c>
      <c r="B2" s="7" t="str">
        <f>HYPERLINK("[#]Feature_Schema_1!A3:F3","ADMINISTRATIVE_BOUNDARY_C")</f>
        <v>ADMINISTRATIVE_BOUNDARY_C</v>
      </c>
      <c r="C2" t="s">
        <v>6346</v>
      </c>
      <c r="D2" t="s">
        <v>3417</v>
      </c>
      <c r="E2">
        <v>0</v>
      </c>
      <c r="F2" t="s">
        <v>3418</v>
      </c>
      <c r="G2" t="s">
        <v>3419</v>
      </c>
      <c r="H2" t="s">
        <v>3420</v>
      </c>
    </row>
    <row r="3" spans="1:9" x14ac:dyDescent="0.55000000000000004">
      <c r="A3" t="s">
        <v>6743</v>
      </c>
      <c r="B3" s="7" t="str">
        <f>HYPERLINK("[#]Feature_Schema_1!A140:F140","ADMINISTRATIVE_SUBDIVISION_S")</f>
        <v>ADMINISTRATIVE_SUBDIVISION_S</v>
      </c>
      <c r="C3" t="s">
        <v>6347</v>
      </c>
      <c r="D3" t="s">
        <v>3429</v>
      </c>
      <c r="E3">
        <v>0</v>
      </c>
      <c r="F3" t="s">
        <v>3430</v>
      </c>
      <c r="G3" t="s">
        <v>3431</v>
      </c>
      <c r="H3" t="s">
        <v>3432</v>
      </c>
    </row>
    <row r="4" spans="1:9" x14ac:dyDescent="0.55000000000000004">
      <c r="A4" t="s">
        <v>6744</v>
      </c>
      <c r="B4" s="7" t="str">
        <f>HYPERLINK("[#]Feature_Schema_1!A184:F184","AERATION_BASIN_S")</f>
        <v>AERATION_BASIN_S</v>
      </c>
      <c r="C4" t="s">
        <v>6348</v>
      </c>
      <c r="D4" t="s">
        <v>64</v>
      </c>
      <c r="E4">
        <v>0</v>
      </c>
      <c r="F4" t="s">
        <v>65</v>
      </c>
      <c r="G4" t="s">
        <v>66</v>
      </c>
      <c r="H4" t="s">
        <v>67</v>
      </c>
    </row>
    <row r="5" spans="1:9" x14ac:dyDescent="0.55000000000000004">
      <c r="A5" t="s">
        <v>6745</v>
      </c>
      <c r="B5" s="7" t="str">
        <f>HYPERLINK("[#]Feature_Schema_1!A266:F266","AERIAL_FARM_P")</f>
        <v>AERIAL_FARM_P</v>
      </c>
      <c r="C5" t="s">
        <v>6349</v>
      </c>
      <c r="D5" t="s">
        <v>1802</v>
      </c>
      <c r="E5">
        <v>0</v>
      </c>
      <c r="F5" t="s">
        <v>1803</v>
      </c>
      <c r="G5" t="s">
        <v>1804</v>
      </c>
      <c r="H5" t="s">
        <v>1805</v>
      </c>
    </row>
    <row r="6" spans="1:9" x14ac:dyDescent="0.55000000000000004">
      <c r="A6" t="s">
        <v>6746</v>
      </c>
      <c r="B6" s="7" t="str">
        <f>HYPERLINK("[#]Feature_Schema_1!A369:F369","AERIAL_FARM_S")</f>
        <v>AERIAL_FARM_S</v>
      </c>
      <c r="C6" t="s">
        <v>6349</v>
      </c>
      <c r="D6" t="s">
        <v>1802</v>
      </c>
      <c r="E6">
        <v>0</v>
      </c>
      <c r="F6" t="s">
        <v>1803</v>
      </c>
      <c r="G6" t="s">
        <v>1804</v>
      </c>
      <c r="H6" t="s">
        <v>1805</v>
      </c>
    </row>
    <row r="7" spans="1:9" x14ac:dyDescent="0.55000000000000004">
      <c r="A7" t="s">
        <v>6745</v>
      </c>
      <c r="B7" s="7" t="str">
        <f>HYPERLINK("[#]Feature_Schema_1!A472:F472","AERIAL_P")</f>
        <v>AERIAL_P</v>
      </c>
      <c r="C7" t="s">
        <v>6350</v>
      </c>
      <c r="D7" t="s">
        <v>1798</v>
      </c>
      <c r="E7">
        <v>0</v>
      </c>
      <c r="F7" t="s">
        <v>1799</v>
      </c>
      <c r="G7" t="s">
        <v>1800</v>
      </c>
      <c r="H7" t="s">
        <v>1801</v>
      </c>
    </row>
    <row r="8" spans="1:9" x14ac:dyDescent="0.55000000000000004">
      <c r="A8" t="s">
        <v>6747</v>
      </c>
      <c r="B8" s="7" t="str">
        <f>HYPERLINK("[#]Feature_Schema_1!A559:F559","AERO_RADIO_NAV_INSTALLATION_P")</f>
        <v>AERO_RADIO_NAV_INSTALLATION_P</v>
      </c>
      <c r="C8" t="s">
        <v>6351</v>
      </c>
    </row>
    <row r="9" spans="1:9" x14ac:dyDescent="0.55000000000000004">
      <c r="A9" t="s">
        <v>6747</v>
      </c>
      <c r="B9" s="7" t="str">
        <f>HYPERLINK("[#]Feature_Schema_1!A705:F705","AERODROME_BEACON_P")</f>
        <v>AERODROME_BEACON_P</v>
      </c>
      <c r="C9" t="s">
        <v>6352</v>
      </c>
    </row>
    <row r="10" spans="1:9" x14ac:dyDescent="0.55000000000000004">
      <c r="A10" t="s">
        <v>6748</v>
      </c>
      <c r="B10" s="7" t="str">
        <f>HYPERLINK("[#]Feature_Schema_1!A838:F838","AIRCRAFT_HANGAR_P")</f>
        <v>AIRCRAFT_HANGAR_P</v>
      </c>
      <c r="C10" t="s">
        <v>6353</v>
      </c>
      <c r="D10" t="s">
        <v>3850</v>
      </c>
      <c r="E10">
        <v>0</v>
      </c>
      <c r="F10" t="s">
        <v>3851</v>
      </c>
      <c r="G10" t="s">
        <v>3852</v>
      </c>
      <c r="H10" t="s">
        <v>3853</v>
      </c>
    </row>
    <row r="11" spans="1:9" x14ac:dyDescent="0.55000000000000004">
      <c r="A11" t="s">
        <v>6749</v>
      </c>
      <c r="B11" s="7" t="str">
        <f>HYPERLINK("[#]Feature_Schema_1!A1025:F1025","AIRCRAFT_HANGAR_S")</f>
        <v>AIRCRAFT_HANGAR_S</v>
      </c>
      <c r="C11" t="s">
        <v>6353</v>
      </c>
      <c r="D11" t="s">
        <v>3850</v>
      </c>
      <c r="E11">
        <v>0</v>
      </c>
      <c r="F11" t="s">
        <v>3851</v>
      </c>
      <c r="G11" t="s">
        <v>3852</v>
      </c>
      <c r="H11" t="s">
        <v>3853</v>
      </c>
    </row>
    <row r="12" spans="1:9" x14ac:dyDescent="0.55000000000000004">
      <c r="A12" t="s">
        <v>6750</v>
      </c>
      <c r="B12" s="7" t="str">
        <f>HYPERLINK("[#]Feature_Schema_1!A1212:F1212","AMPHITHEATRE_P")</f>
        <v>AMPHITHEATRE_P</v>
      </c>
      <c r="C12" t="s">
        <v>6354</v>
      </c>
      <c r="D12" t="s">
        <v>427</v>
      </c>
      <c r="E12">
        <v>0</v>
      </c>
      <c r="F12" t="s">
        <v>428</v>
      </c>
      <c r="G12" t="s">
        <v>429</v>
      </c>
      <c r="H12" t="s">
        <v>430</v>
      </c>
    </row>
    <row r="13" spans="1:9" x14ac:dyDescent="0.55000000000000004">
      <c r="A13" t="s">
        <v>6751</v>
      </c>
      <c r="B13" s="7" t="str">
        <f>HYPERLINK("[#]Feature_Schema_1!A1271:F1271","AMPHITHEATRE_S")</f>
        <v>AMPHITHEATRE_S</v>
      </c>
      <c r="C13" t="s">
        <v>6354</v>
      </c>
      <c r="D13" t="s">
        <v>427</v>
      </c>
      <c r="E13">
        <v>0</v>
      </c>
      <c r="F13" t="s">
        <v>428</v>
      </c>
      <c r="G13" t="s">
        <v>429</v>
      </c>
      <c r="H13" t="s">
        <v>430</v>
      </c>
    </row>
    <row r="14" spans="1:9" x14ac:dyDescent="0.55000000000000004">
      <c r="A14" t="s">
        <v>6752</v>
      </c>
      <c r="B14" s="7" t="str">
        <f>HYPERLINK("[#]Feature_Schema_1!A1330:F1330","AMUSEMENT_PARK_ATTRACTION_C")</f>
        <v>AMUSEMENT_PARK_ATTRACTION_C</v>
      </c>
      <c r="C14" t="s">
        <v>6355</v>
      </c>
      <c r="D14" t="s">
        <v>323</v>
      </c>
      <c r="E14">
        <v>0</v>
      </c>
      <c r="F14" t="s">
        <v>324</v>
      </c>
      <c r="G14" t="s">
        <v>325</v>
      </c>
      <c r="H14" t="s">
        <v>326</v>
      </c>
    </row>
    <row r="15" spans="1:9" x14ac:dyDescent="0.55000000000000004">
      <c r="A15" t="s">
        <v>6750</v>
      </c>
      <c r="B15" s="7" t="str">
        <f>HYPERLINK("[#]Feature_Schema_1!A1408:F1408","AMUSEMENT_PARK_ATTRACTION_P")</f>
        <v>AMUSEMENT_PARK_ATTRACTION_P</v>
      </c>
      <c r="C15" t="s">
        <v>6355</v>
      </c>
      <c r="D15" t="s">
        <v>323</v>
      </c>
      <c r="E15">
        <v>0</v>
      </c>
      <c r="F15" t="s">
        <v>324</v>
      </c>
      <c r="G15" t="s">
        <v>325</v>
      </c>
      <c r="H15" t="s">
        <v>326</v>
      </c>
    </row>
    <row r="16" spans="1:9" x14ac:dyDescent="0.55000000000000004">
      <c r="A16" t="s">
        <v>6751</v>
      </c>
      <c r="B16" s="7" t="str">
        <f>HYPERLINK("[#]Feature_Schema_1!A1486:F1486","AMUSEMENT_PARK_ATTRACTION_S")</f>
        <v>AMUSEMENT_PARK_ATTRACTION_S</v>
      </c>
      <c r="C16" t="s">
        <v>6355</v>
      </c>
      <c r="D16" t="s">
        <v>323</v>
      </c>
      <c r="E16">
        <v>0</v>
      </c>
      <c r="F16" t="s">
        <v>324</v>
      </c>
      <c r="G16" t="s">
        <v>325</v>
      </c>
      <c r="H16" t="s">
        <v>326</v>
      </c>
    </row>
    <row r="17" spans="1:8" x14ac:dyDescent="0.55000000000000004">
      <c r="A17" t="s">
        <v>6750</v>
      </c>
      <c r="B17" s="7" t="str">
        <f>HYPERLINK("[#]Feature_Schema_1!A1564:F1564","AMUSEMENT_PARK_P")</f>
        <v>AMUSEMENT_PARK_P</v>
      </c>
      <c r="C17" t="s">
        <v>6356</v>
      </c>
      <c r="D17" t="s">
        <v>327</v>
      </c>
      <c r="E17">
        <v>0</v>
      </c>
      <c r="F17" t="s">
        <v>328</v>
      </c>
      <c r="G17" t="s">
        <v>329</v>
      </c>
      <c r="H17" t="s">
        <v>330</v>
      </c>
    </row>
    <row r="18" spans="1:8" x14ac:dyDescent="0.55000000000000004">
      <c r="A18" t="s">
        <v>6751</v>
      </c>
      <c r="B18" s="7" t="str">
        <f>HYPERLINK("[#]Feature_Schema_1!A1736:F1736","AMUSEMENT_PARK_S")</f>
        <v>AMUSEMENT_PARK_S</v>
      </c>
      <c r="C18" t="s">
        <v>6356</v>
      </c>
      <c r="D18" t="s">
        <v>327</v>
      </c>
      <c r="E18">
        <v>0</v>
      </c>
      <c r="F18" t="s">
        <v>328</v>
      </c>
      <c r="G18" t="s">
        <v>329</v>
      </c>
      <c r="H18" t="s">
        <v>330</v>
      </c>
    </row>
    <row r="19" spans="1:8" x14ac:dyDescent="0.55000000000000004">
      <c r="A19" t="s">
        <v>6753</v>
      </c>
      <c r="B19" s="7" t="str">
        <f>HYPERLINK("[#]Feature_Schema_1!A1908:F1908","ANCHOR_P")</f>
        <v>ANCHOR_P</v>
      </c>
      <c r="C19" t="s">
        <v>6357</v>
      </c>
      <c r="D19" t="s">
        <v>1942</v>
      </c>
      <c r="E19">
        <v>0</v>
      </c>
      <c r="F19" t="s">
        <v>1943</v>
      </c>
      <c r="G19" t="s">
        <v>1944</v>
      </c>
      <c r="H19" t="s">
        <v>1945</v>
      </c>
    </row>
    <row r="20" spans="1:8" x14ac:dyDescent="0.55000000000000004">
      <c r="A20" t="s">
        <v>6753</v>
      </c>
      <c r="B20" s="7" t="str">
        <f>HYPERLINK("[#]Feature_Schema_1!A1958:F1958","ANCHORAGE_P")</f>
        <v>ANCHORAGE_P</v>
      </c>
      <c r="C20" t="s">
        <v>6358</v>
      </c>
      <c r="D20" t="s">
        <v>1926</v>
      </c>
      <c r="E20">
        <v>0</v>
      </c>
      <c r="F20" t="s">
        <v>1927</v>
      </c>
      <c r="G20" t="s">
        <v>1928</v>
      </c>
      <c r="H20" t="s">
        <v>1929</v>
      </c>
    </row>
    <row r="21" spans="1:8" x14ac:dyDescent="0.55000000000000004">
      <c r="A21" t="s">
        <v>6754</v>
      </c>
      <c r="B21" s="7" t="str">
        <f>HYPERLINK("[#]Feature_Schema_1!A2028:F2028","ANCHORAGE_S")</f>
        <v>ANCHORAGE_S</v>
      </c>
      <c r="C21" t="s">
        <v>6358</v>
      </c>
      <c r="D21" t="s">
        <v>1926</v>
      </c>
      <c r="E21">
        <v>0</v>
      </c>
      <c r="F21" t="s">
        <v>1927</v>
      </c>
      <c r="G21" t="s">
        <v>1928</v>
      </c>
      <c r="H21" t="s">
        <v>1929</v>
      </c>
    </row>
    <row r="22" spans="1:8" x14ac:dyDescent="0.55000000000000004">
      <c r="A22" t="s">
        <v>6755</v>
      </c>
      <c r="B22" s="7" t="str">
        <f>HYPERLINK("[#]Feature_Schema_1!A2098:F2098","ANNOTATED_LOCATION_C")</f>
        <v>ANNOTATED_LOCATION_C</v>
      </c>
      <c r="C22" t="s">
        <v>6359</v>
      </c>
      <c r="D22" t="s">
        <v>6151</v>
      </c>
      <c r="E22">
        <v>0</v>
      </c>
      <c r="F22" t="s">
        <v>6152</v>
      </c>
      <c r="G22" t="s">
        <v>6153</v>
      </c>
      <c r="H22" t="s">
        <v>6154</v>
      </c>
    </row>
    <row r="23" spans="1:8" x14ac:dyDescent="0.55000000000000004">
      <c r="A23" t="s">
        <v>6756</v>
      </c>
      <c r="B23" s="7" t="str">
        <f>HYPERLINK("[#]Feature_Schema_1!A2147:F2147","ANNOTATED_LOCATION_P")</f>
        <v>ANNOTATED_LOCATION_P</v>
      </c>
      <c r="C23" t="s">
        <v>6359</v>
      </c>
      <c r="D23" t="s">
        <v>6151</v>
      </c>
      <c r="E23">
        <v>0</v>
      </c>
      <c r="F23" t="s">
        <v>6152</v>
      </c>
      <c r="G23" t="s">
        <v>6153</v>
      </c>
      <c r="H23" t="s">
        <v>6154</v>
      </c>
    </row>
    <row r="24" spans="1:8" x14ac:dyDescent="0.55000000000000004">
      <c r="A24" t="s">
        <v>6757</v>
      </c>
      <c r="B24" s="7" t="str">
        <f>HYPERLINK("[#]Feature_Schema_1!A2196:F2196","ANNOTATED_LOCATION_S")</f>
        <v>ANNOTATED_LOCATION_S</v>
      </c>
      <c r="C24" t="s">
        <v>6359</v>
      </c>
      <c r="D24" t="s">
        <v>6151</v>
      </c>
      <c r="E24">
        <v>0</v>
      </c>
      <c r="F24" t="s">
        <v>6152</v>
      </c>
      <c r="G24" t="s">
        <v>6153</v>
      </c>
      <c r="H24" t="s">
        <v>6154</v>
      </c>
    </row>
    <row r="25" spans="1:8" x14ac:dyDescent="0.55000000000000004">
      <c r="A25" t="s">
        <v>6758</v>
      </c>
      <c r="B25" s="7" t="str">
        <f>HYPERLINK("[#]Feature_Schema_1!A2245:F2245","ANTI_AIRCRAFT_ARTILLERY_SITE_P")</f>
        <v>ANTI_AIRCRAFT_ARTILLERY_SITE_P</v>
      </c>
      <c r="C25" t="s">
        <v>6360</v>
      </c>
      <c r="D25" t="s">
        <v>1022</v>
      </c>
      <c r="E25">
        <v>0</v>
      </c>
      <c r="F25" t="s">
        <v>1023</v>
      </c>
      <c r="G25" t="s">
        <v>1024</v>
      </c>
      <c r="H25" t="s">
        <v>1025</v>
      </c>
    </row>
    <row r="26" spans="1:8" x14ac:dyDescent="0.55000000000000004">
      <c r="A26" t="s">
        <v>6759</v>
      </c>
      <c r="B26" s="7" t="str">
        <f>HYPERLINK("[#]Feature_Schema_1!A2357:F2357","ANTI_AIRCRAFT_ARTILLERY_SITE_S")</f>
        <v>ANTI_AIRCRAFT_ARTILLERY_SITE_S</v>
      </c>
      <c r="C26" t="s">
        <v>6360</v>
      </c>
      <c r="D26" t="s">
        <v>1022</v>
      </c>
      <c r="E26">
        <v>0</v>
      </c>
      <c r="F26" t="s">
        <v>1023</v>
      </c>
      <c r="G26" t="s">
        <v>1024</v>
      </c>
      <c r="H26" t="s">
        <v>1025</v>
      </c>
    </row>
    <row r="27" spans="1:8" x14ac:dyDescent="0.55000000000000004">
      <c r="A27" t="s">
        <v>6749</v>
      </c>
      <c r="B27" s="7" t="str">
        <f>HYPERLINK("[#]Feature_Schema_1!A2469:F2469","APRON_S")</f>
        <v>APRON_S</v>
      </c>
      <c r="C27" t="s">
        <v>6361</v>
      </c>
      <c r="D27" t="s">
        <v>3750</v>
      </c>
      <c r="E27">
        <v>0</v>
      </c>
      <c r="F27" t="s">
        <v>3751</v>
      </c>
      <c r="G27" t="s">
        <v>3752</v>
      </c>
      <c r="H27" t="s">
        <v>3753</v>
      </c>
    </row>
    <row r="28" spans="1:8" x14ac:dyDescent="0.55000000000000004">
      <c r="A28" t="s">
        <v>6760</v>
      </c>
      <c r="B28" s="7" t="str">
        <f>HYPERLINK("[#]Feature_Schema_1!A2712:F2712","AQUATIC_VEGETATION_P")</f>
        <v>AQUATIC_VEGETATION_P</v>
      </c>
      <c r="C28" t="s">
        <v>6362</v>
      </c>
      <c r="D28" t="s">
        <v>2275</v>
      </c>
      <c r="E28">
        <v>0</v>
      </c>
      <c r="F28" t="s">
        <v>2276</v>
      </c>
      <c r="G28" t="s">
        <v>2277</v>
      </c>
      <c r="H28" t="s">
        <v>2278</v>
      </c>
    </row>
    <row r="29" spans="1:8" x14ac:dyDescent="0.55000000000000004">
      <c r="A29" t="s">
        <v>6761</v>
      </c>
      <c r="B29" s="7" t="str">
        <f>HYPERLINK("[#]Feature_Schema_1!A2789:F2789","AQUATIC_VEGETATION_S")</f>
        <v>AQUATIC_VEGETATION_S</v>
      </c>
      <c r="C29" t="s">
        <v>6362</v>
      </c>
      <c r="D29" t="s">
        <v>2275</v>
      </c>
      <c r="E29">
        <v>0</v>
      </c>
      <c r="F29" t="s">
        <v>2276</v>
      </c>
      <c r="G29" t="s">
        <v>2277</v>
      </c>
      <c r="H29" t="s">
        <v>2278</v>
      </c>
    </row>
    <row r="30" spans="1:8" x14ac:dyDescent="0.55000000000000004">
      <c r="A30" t="s">
        <v>6762</v>
      </c>
      <c r="B30" s="7" t="str">
        <f>HYPERLINK("[#]Feature_Schema_1!A2866:F2866","AQUEDUCT_AON_S")</f>
        <v>AQUEDUCT_AON_S</v>
      </c>
      <c r="C30" t="s">
        <v>6363</v>
      </c>
    </row>
    <row r="31" spans="1:8" x14ac:dyDescent="0.55000000000000004">
      <c r="A31" t="s">
        <v>6763</v>
      </c>
      <c r="B31" s="7" t="str">
        <f>HYPERLINK("[#]Feature_Schema_1!A3076:F3076","AQUEDUCT_C")</f>
        <v>AQUEDUCT_C</v>
      </c>
      <c r="C31" t="s">
        <v>6364</v>
      </c>
      <c r="D31" t="s">
        <v>2492</v>
      </c>
      <c r="E31">
        <v>0</v>
      </c>
      <c r="F31" t="s">
        <v>2493</v>
      </c>
      <c r="G31" t="s">
        <v>2494</v>
      </c>
      <c r="H31" t="s">
        <v>2495</v>
      </c>
    </row>
    <row r="32" spans="1:8" x14ac:dyDescent="0.55000000000000004">
      <c r="A32" t="s">
        <v>6764</v>
      </c>
      <c r="B32" s="7" t="str">
        <f>HYPERLINK("[#]Feature_Schema_1!A3366:F3366","AQUEDUCT_S")</f>
        <v>AQUEDUCT_S</v>
      </c>
      <c r="C32" t="s">
        <v>6364</v>
      </c>
      <c r="D32" t="s">
        <v>2492</v>
      </c>
      <c r="E32">
        <v>0</v>
      </c>
      <c r="F32" t="s">
        <v>2493</v>
      </c>
      <c r="G32" t="s">
        <v>2494</v>
      </c>
      <c r="H32" t="s">
        <v>2495</v>
      </c>
    </row>
    <row r="33" spans="1:8" x14ac:dyDescent="0.55000000000000004">
      <c r="A33" t="s">
        <v>6765</v>
      </c>
      <c r="B33" s="7" t="str">
        <f>HYPERLINK("[#]Feature_Schema_1!A3656:F3656","AQUIFER_S")</f>
        <v>AQUIFER_S</v>
      </c>
      <c r="C33" t="s">
        <v>6365</v>
      </c>
    </row>
    <row r="34" spans="1:8" x14ac:dyDescent="0.55000000000000004">
      <c r="A34" t="s">
        <v>6766</v>
      </c>
      <c r="B34" s="7" t="str">
        <f>HYPERLINK("[#]Feature_Schema_1!A3967:F3967","ARCADE_C")</f>
        <v>ARCADE_C</v>
      </c>
      <c r="C34" t="s">
        <v>6366</v>
      </c>
      <c r="D34" t="s">
        <v>1750</v>
      </c>
      <c r="E34">
        <v>0</v>
      </c>
      <c r="F34" t="s">
        <v>1751</v>
      </c>
      <c r="G34" t="s">
        <v>1752</v>
      </c>
      <c r="H34" t="s">
        <v>1753</v>
      </c>
    </row>
    <row r="35" spans="1:8" x14ac:dyDescent="0.55000000000000004">
      <c r="A35" t="s">
        <v>6767</v>
      </c>
      <c r="B35" s="7" t="str">
        <f>HYPERLINK("[#]Feature_Schema_1!A4033:F4033","ARCADE_S")</f>
        <v>ARCADE_S</v>
      </c>
      <c r="C35" t="s">
        <v>6366</v>
      </c>
      <c r="D35" t="s">
        <v>1750</v>
      </c>
      <c r="E35">
        <v>0</v>
      </c>
      <c r="F35" t="s">
        <v>1751</v>
      </c>
      <c r="G35" t="s">
        <v>1752</v>
      </c>
      <c r="H35" t="s">
        <v>1753</v>
      </c>
    </row>
    <row r="36" spans="1:8" x14ac:dyDescent="0.55000000000000004">
      <c r="A36" t="s">
        <v>6768</v>
      </c>
      <c r="B36" s="7" t="str">
        <f>HYPERLINK("[#]Feature_Schema_1!A4099:F4099","ARCHAEOLOGICAL_SITE_P")</f>
        <v>ARCHAEOLOGICAL_SITE_P</v>
      </c>
      <c r="C36" t="s">
        <v>6367</v>
      </c>
      <c r="D36" t="s">
        <v>471</v>
      </c>
      <c r="E36">
        <v>0</v>
      </c>
      <c r="F36" t="s">
        <v>472</v>
      </c>
      <c r="G36" t="s">
        <v>473</v>
      </c>
      <c r="H36" t="s">
        <v>474</v>
      </c>
    </row>
    <row r="37" spans="1:8" x14ac:dyDescent="0.55000000000000004">
      <c r="A37" t="s">
        <v>6769</v>
      </c>
      <c r="B37" s="7" t="str">
        <f>HYPERLINK("[#]Feature_Schema_1!A4152:F4152","ARCHAEOLOGICAL_SITE_S")</f>
        <v>ARCHAEOLOGICAL_SITE_S</v>
      </c>
      <c r="C37" t="s">
        <v>6367</v>
      </c>
      <c r="D37" t="s">
        <v>471</v>
      </c>
      <c r="E37">
        <v>0</v>
      </c>
      <c r="F37" t="s">
        <v>472</v>
      </c>
      <c r="G37" t="s">
        <v>473</v>
      </c>
      <c r="H37" t="s">
        <v>474</v>
      </c>
    </row>
    <row r="38" spans="1:8" x14ac:dyDescent="0.55000000000000004">
      <c r="A38" t="s">
        <v>6770</v>
      </c>
      <c r="B38" s="7" t="str">
        <f>HYPERLINK("[#]Feature_Schema_1!A4205:F4205","ASPHALT_LAKE_S")</f>
        <v>ASPHALT_LAKE_S</v>
      </c>
      <c r="C38" t="s">
        <v>6368</v>
      </c>
      <c r="D38" t="s">
        <v>2868</v>
      </c>
      <c r="E38">
        <v>0</v>
      </c>
      <c r="F38" t="s">
        <v>2869</v>
      </c>
      <c r="G38" t="s">
        <v>2870</v>
      </c>
      <c r="H38" t="s">
        <v>2871</v>
      </c>
    </row>
    <row r="39" spans="1:8" x14ac:dyDescent="0.55000000000000004">
      <c r="A39" t="s">
        <v>6771</v>
      </c>
      <c r="B39" s="7" t="str">
        <f>HYPERLINK("[#]Feature_Schema_1!A4244:F4244","ASTRONOMICAL_OBSERVATORY_P")</f>
        <v>ASTRONOMICAL_OBSERVATORY_P</v>
      </c>
      <c r="C39" t="s">
        <v>6369</v>
      </c>
      <c r="D39" t="s">
        <v>1042</v>
      </c>
      <c r="E39">
        <v>0</v>
      </c>
      <c r="F39" t="s">
        <v>1043</v>
      </c>
      <c r="G39" t="s">
        <v>1044</v>
      </c>
      <c r="H39" t="s">
        <v>1045</v>
      </c>
    </row>
    <row r="40" spans="1:8" x14ac:dyDescent="0.55000000000000004">
      <c r="A40" t="s">
        <v>6772</v>
      </c>
      <c r="B40" s="7" t="str">
        <f>HYPERLINK("[#]Feature_Schema_1!A4380:F4380","ASTRONOMICAL_OBSERVATORY_S")</f>
        <v>ASTRONOMICAL_OBSERVATORY_S</v>
      </c>
      <c r="C40" t="s">
        <v>6369</v>
      </c>
      <c r="D40" t="s">
        <v>1042</v>
      </c>
      <c r="E40">
        <v>0</v>
      </c>
      <c r="F40" t="s">
        <v>1043</v>
      </c>
      <c r="G40" t="s">
        <v>1044</v>
      </c>
      <c r="H40" t="s">
        <v>1045</v>
      </c>
    </row>
    <row r="41" spans="1:8" x14ac:dyDescent="0.55000000000000004">
      <c r="A41" t="s">
        <v>6773</v>
      </c>
      <c r="B41" s="7" t="str">
        <f>HYPERLINK("[#]Feature_Schema_1!A4516:F4516","BARN_P")</f>
        <v>BARN_P</v>
      </c>
      <c r="C41" t="s">
        <v>6370</v>
      </c>
      <c r="D41" t="s">
        <v>293</v>
      </c>
      <c r="E41">
        <v>0</v>
      </c>
      <c r="F41" t="s">
        <v>294</v>
      </c>
      <c r="G41" t="s">
        <v>295</v>
      </c>
      <c r="H41" t="s">
        <v>296</v>
      </c>
    </row>
    <row r="42" spans="1:8" x14ac:dyDescent="0.55000000000000004">
      <c r="A42" t="s">
        <v>6774</v>
      </c>
      <c r="B42" s="7" t="str">
        <f>HYPERLINK("[#]Feature_Schema_1!A4698:F4698","BARN_S")</f>
        <v>BARN_S</v>
      </c>
      <c r="C42" t="s">
        <v>6370</v>
      </c>
      <c r="D42" t="s">
        <v>293</v>
      </c>
      <c r="E42">
        <v>0</v>
      </c>
      <c r="F42" t="s">
        <v>294</v>
      </c>
      <c r="G42" t="s">
        <v>295</v>
      </c>
      <c r="H42" t="s">
        <v>296</v>
      </c>
    </row>
    <row r="43" spans="1:8" x14ac:dyDescent="0.55000000000000004">
      <c r="A43" t="s">
        <v>6775</v>
      </c>
      <c r="B43" s="7" t="str">
        <f>HYPERLINK("[#]Feature_Schema_1!A4880:F4880","BASIN_GATE_C")</f>
        <v>BASIN_GATE_C</v>
      </c>
      <c r="C43" t="s">
        <v>6371</v>
      </c>
      <c r="D43" t="s">
        <v>2746</v>
      </c>
      <c r="E43">
        <v>0</v>
      </c>
      <c r="F43" t="s">
        <v>2747</v>
      </c>
      <c r="G43" t="s">
        <v>2748</v>
      </c>
      <c r="H43" t="s">
        <v>2749</v>
      </c>
    </row>
    <row r="44" spans="1:8" x14ac:dyDescent="0.55000000000000004">
      <c r="A44" t="s">
        <v>6776</v>
      </c>
      <c r="B44" s="7" t="str">
        <f>HYPERLINK("[#]Feature_Schema_1!A4974:F4974","BASIN_GATE_P")</f>
        <v>BASIN_GATE_P</v>
      </c>
      <c r="C44" t="s">
        <v>6371</v>
      </c>
      <c r="D44" t="s">
        <v>2746</v>
      </c>
      <c r="E44">
        <v>0</v>
      </c>
      <c r="F44" t="s">
        <v>2747</v>
      </c>
      <c r="G44" t="s">
        <v>2748</v>
      </c>
      <c r="H44" t="s">
        <v>2749</v>
      </c>
    </row>
    <row r="45" spans="1:8" x14ac:dyDescent="0.55000000000000004">
      <c r="A45" t="s">
        <v>6758</v>
      </c>
      <c r="B45" s="7" t="str">
        <f>HYPERLINK("[#]Feature_Schema_1!A5068:F5068","BEACH_LANDING_SITE_P")</f>
        <v>BEACH_LANDING_SITE_P</v>
      </c>
      <c r="C45" t="s">
        <v>6372</v>
      </c>
      <c r="D45" t="s">
        <v>2046</v>
      </c>
      <c r="E45">
        <v>0</v>
      </c>
      <c r="F45" t="s">
        <v>2047</v>
      </c>
      <c r="G45" t="s">
        <v>2048</v>
      </c>
      <c r="H45" t="s">
        <v>2049</v>
      </c>
    </row>
    <row r="46" spans="1:8" x14ac:dyDescent="0.55000000000000004">
      <c r="A46" t="s">
        <v>6759</v>
      </c>
      <c r="B46" s="7" t="str">
        <f>HYPERLINK("[#]Feature_Schema_1!A5116:F5116","BEACH_LANDING_SITE_S")</f>
        <v>BEACH_LANDING_SITE_S</v>
      </c>
      <c r="C46" t="s">
        <v>6372</v>
      </c>
      <c r="D46" t="s">
        <v>2046</v>
      </c>
      <c r="E46">
        <v>0</v>
      </c>
      <c r="F46" t="s">
        <v>2047</v>
      </c>
      <c r="G46" t="s">
        <v>2048</v>
      </c>
      <c r="H46" t="s">
        <v>2049</v>
      </c>
    </row>
    <row r="47" spans="1:8" x14ac:dyDescent="0.55000000000000004">
      <c r="A47" t="s">
        <v>6777</v>
      </c>
      <c r="B47" s="7" t="str">
        <f>HYPERLINK("[#]Feature_Schema_1!A5164:F5164","BEACH_PROFILE_C")</f>
        <v>BEACH_PROFILE_C</v>
      </c>
      <c r="C47" t="s">
        <v>6373</v>
      </c>
      <c r="D47" t="s">
        <v>2445</v>
      </c>
      <c r="E47">
        <v>0</v>
      </c>
      <c r="F47" t="s">
        <v>2446</v>
      </c>
      <c r="G47" t="s">
        <v>2447</v>
      </c>
      <c r="H47" t="s">
        <v>2448</v>
      </c>
    </row>
    <row r="48" spans="1:8" x14ac:dyDescent="0.55000000000000004">
      <c r="A48" t="s">
        <v>6778</v>
      </c>
      <c r="B48" s="7" t="str">
        <f>HYPERLINK("[#]Feature_Schema_1!A5194:F5194","BEACH_S")</f>
        <v>BEACH_S</v>
      </c>
      <c r="C48" t="s">
        <v>6374</v>
      </c>
      <c r="D48" t="s">
        <v>1890</v>
      </c>
      <c r="E48">
        <v>0</v>
      </c>
      <c r="F48" t="s">
        <v>1891</v>
      </c>
      <c r="G48" t="s">
        <v>1892</v>
      </c>
      <c r="H48" t="s">
        <v>1893</v>
      </c>
    </row>
    <row r="49" spans="1:8" x14ac:dyDescent="0.55000000000000004">
      <c r="A49" t="s">
        <v>6779</v>
      </c>
      <c r="B49" s="7" t="str">
        <f>HYPERLINK("[#]Feature_Schema_1!A5517:F5517","BENCHMARK_P")</f>
        <v>BENCHMARK_P</v>
      </c>
      <c r="C49" t="s">
        <v>6375</v>
      </c>
      <c r="D49" t="s">
        <v>6002</v>
      </c>
      <c r="E49">
        <v>0</v>
      </c>
      <c r="F49" t="s">
        <v>6003</v>
      </c>
      <c r="G49" t="s">
        <v>6004</v>
      </c>
      <c r="H49" t="s">
        <v>6005</v>
      </c>
    </row>
    <row r="50" spans="1:8" x14ac:dyDescent="0.55000000000000004">
      <c r="A50" t="s">
        <v>6753</v>
      </c>
      <c r="B50" s="7" t="str">
        <f>HYPERLINK("[#]Feature_Schema_1!A5566:F5566","BERTH_P")</f>
        <v>BERTH_P</v>
      </c>
      <c r="C50" t="s">
        <v>6376</v>
      </c>
      <c r="D50" t="s">
        <v>1946</v>
      </c>
      <c r="E50">
        <v>0</v>
      </c>
      <c r="F50" t="s">
        <v>1947</v>
      </c>
      <c r="G50" t="s">
        <v>1948</v>
      </c>
      <c r="H50" t="s">
        <v>1949</v>
      </c>
    </row>
    <row r="51" spans="1:8" x14ac:dyDescent="0.55000000000000004">
      <c r="A51" t="s">
        <v>6771</v>
      </c>
      <c r="B51" s="7" t="str">
        <f>HYPERLINK("[#]Feature_Schema_1!A5614:F5614","BILLBOARD_P")</f>
        <v>BILLBOARD_P</v>
      </c>
      <c r="C51" t="s">
        <v>6377</v>
      </c>
      <c r="D51" t="s">
        <v>221</v>
      </c>
      <c r="E51">
        <v>0</v>
      </c>
      <c r="F51" t="s">
        <v>222</v>
      </c>
      <c r="G51" t="s">
        <v>223</v>
      </c>
      <c r="H51" t="s">
        <v>224</v>
      </c>
    </row>
    <row r="52" spans="1:8" x14ac:dyDescent="0.55000000000000004">
      <c r="A52" t="s">
        <v>6780</v>
      </c>
      <c r="B52" s="7" t="str">
        <f>HYPERLINK("[#]Feature_Schema_1!A5761:F5761","BLAST_FURNACE_P")</f>
        <v>BLAST_FURNACE_P</v>
      </c>
      <c r="C52" t="s">
        <v>6378</v>
      </c>
      <c r="D52" t="s">
        <v>76</v>
      </c>
      <c r="E52">
        <v>0</v>
      </c>
      <c r="F52" t="s">
        <v>77</v>
      </c>
      <c r="G52" t="s">
        <v>78</v>
      </c>
      <c r="H52" t="s">
        <v>79</v>
      </c>
    </row>
    <row r="53" spans="1:8" x14ac:dyDescent="0.55000000000000004">
      <c r="A53" t="s">
        <v>6744</v>
      </c>
      <c r="B53" s="7" t="str">
        <f>HYPERLINK("[#]Feature_Schema_1!A5830:F5830","BLAST_FURNACE_S")</f>
        <v>BLAST_FURNACE_S</v>
      </c>
      <c r="C53" t="s">
        <v>6378</v>
      </c>
      <c r="D53" t="s">
        <v>76</v>
      </c>
      <c r="E53">
        <v>0</v>
      </c>
      <c r="F53" t="s">
        <v>77</v>
      </c>
      <c r="G53" t="s">
        <v>78</v>
      </c>
      <c r="H53" t="s">
        <v>79</v>
      </c>
    </row>
    <row r="54" spans="1:8" x14ac:dyDescent="0.55000000000000004">
      <c r="A54" t="s">
        <v>6781</v>
      </c>
      <c r="B54" s="7" t="str">
        <f>HYPERLINK("[#]Feature_Schema_1!A5899:F5899","BOG_S")</f>
        <v>BOG_S</v>
      </c>
      <c r="C54" t="s">
        <v>6379</v>
      </c>
      <c r="D54" t="s">
        <v>2504</v>
      </c>
      <c r="E54">
        <v>0</v>
      </c>
      <c r="F54" t="s">
        <v>2505</v>
      </c>
      <c r="G54" t="s">
        <v>2506</v>
      </c>
      <c r="H54" t="s">
        <v>2507</v>
      </c>
    </row>
    <row r="55" spans="1:8" x14ac:dyDescent="0.55000000000000004">
      <c r="A55" t="s">
        <v>6780</v>
      </c>
      <c r="B55" s="7" t="str">
        <f>HYPERLINK("[#]Feature_Schema_1!A6054:F6054","BOREHOLE_P")</f>
        <v>BOREHOLE_P</v>
      </c>
      <c r="C55" t="s">
        <v>6380</v>
      </c>
    </row>
    <row r="56" spans="1:8" x14ac:dyDescent="0.55000000000000004">
      <c r="A56" t="s">
        <v>6769</v>
      </c>
      <c r="B56" s="7" t="str">
        <f>HYPERLINK("[#]Feature_Schema_1!A6110:F6110","BOTANIC_GARDEN_S")</f>
        <v>BOTANIC_GARDEN_S</v>
      </c>
      <c r="C56" t="s">
        <v>6381</v>
      </c>
      <c r="D56" t="s">
        <v>3039</v>
      </c>
      <c r="E56">
        <v>0</v>
      </c>
      <c r="F56" t="s">
        <v>3040</v>
      </c>
      <c r="G56" t="s">
        <v>3041</v>
      </c>
      <c r="H56" t="s">
        <v>3042</v>
      </c>
    </row>
    <row r="57" spans="1:8" x14ac:dyDescent="0.55000000000000004">
      <c r="A57" t="s">
        <v>6760</v>
      </c>
      <c r="B57" s="7" t="str">
        <f>HYPERLINK("[#]Feature_Schema_1!A6157:F6157","BOTTOM_CHARACTER_REGION_P")</f>
        <v>BOTTOM_CHARACTER_REGION_P</v>
      </c>
      <c r="C57" t="s">
        <v>6382</v>
      </c>
      <c r="D57" t="s">
        <v>2450</v>
      </c>
      <c r="E57">
        <v>0</v>
      </c>
      <c r="F57" t="s">
        <v>2451</v>
      </c>
      <c r="G57" t="s">
        <v>2452</v>
      </c>
      <c r="H57" t="s">
        <v>2453</v>
      </c>
    </row>
    <row r="58" spans="1:8" x14ac:dyDescent="0.55000000000000004">
      <c r="A58" t="s">
        <v>6761</v>
      </c>
      <c r="B58" s="7" t="str">
        <f>HYPERLINK("[#]Feature_Schema_1!A6461:F6461","BOTTOM_CHARACTER_REGION_S")</f>
        <v>BOTTOM_CHARACTER_REGION_S</v>
      </c>
      <c r="C58" t="s">
        <v>6382</v>
      </c>
      <c r="D58" t="s">
        <v>2450</v>
      </c>
      <c r="E58">
        <v>0</v>
      </c>
      <c r="F58" t="s">
        <v>2451</v>
      </c>
      <c r="G58" t="s">
        <v>2452</v>
      </c>
      <c r="H58" t="s">
        <v>2453</v>
      </c>
    </row>
    <row r="59" spans="1:8" x14ac:dyDescent="0.55000000000000004">
      <c r="A59" t="s">
        <v>6782</v>
      </c>
      <c r="B59" s="7" t="str">
        <f>HYPERLINK("[#]Feature_Schema_1!A6765:F6765","BOUNDARY_MONUMENT_P")</f>
        <v>BOUNDARY_MONUMENT_P</v>
      </c>
      <c r="C59" t="s">
        <v>6383</v>
      </c>
      <c r="D59" t="s">
        <v>6006</v>
      </c>
      <c r="E59">
        <v>0</v>
      </c>
      <c r="F59" t="s">
        <v>6007</v>
      </c>
      <c r="G59" t="s">
        <v>6008</v>
      </c>
      <c r="H59" t="s">
        <v>6009</v>
      </c>
    </row>
    <row r="60" spans="1:8" x14ac:dyDescent="0.55000000000000004">
      <c r="A60" t="s">
        <v>6766</v>
      </c>
      <c r="B60" s="7" t="str">
        <f>HYPERLINK("[#]Feature_Schema_1!A6845:F6845","BRIDGE_C")</f>
        <v>BRIDGE_C</v>
      </c>
      <c r="C60" t="s">
        <v>1530</v>
      </c>
      <c r="D60" t="s">
        <v>1532</v>
      </c>
      <c r="E60">
        <v>0</v>
      </c>
      <c r="F60" t="s">
        <v>1533</v>
      </c>
      <c r="G60" t="s">
        <v>1534</v>
      </c>
      <c r="H60" t="s">
        <v>1531</v>
      </c>
    </row>
    <row r="61" spans="1:8" x14ac:dyDescent="0.55000000000000004">
      <c r="A61" t="s">
        <v>6783</v>
      </c>
      <c r="B61" s="7" t="str">
        <f>HYPERLINK("[#]Feature_Schema_1!A7093:F7093","BRIDGE_P")</f>
        <v>BRIDGE_P</v>
      </c>
      <c r="C61" t="s">
        <v>1530</v>
      </c>
      <c r="D61" t="s">
        <v>1532</v>
      </c>
      <c r="E61">
        <v>0</v>
      </c>
      <c r="F61" t="s">
        <v>1533</v>
      </c>
      <c r="G61" t="s">
        <v>1534</v>
      </c>
      <c r="H61" t="s">
        <v>1531</v>
      </c>
    </row>
    <row r="62" spans="1:8" x14ac:dyDescent="0.55000000000000004">
      <c r="A62" t="s">
        <v>6766</v>
      </c>
      <c r="B62" s="7" t="str">
        <f>HYPERLINK("[#]Feature_Schema_1!A7341:F7341","BRIDGE_PIER_C")</f>
        <v>BRIDGE_PIER_C</v>
      </c>
      <c r="C62" t="s">
        <v>6384</v>
      </c>
      <c r="D62" t="s">
        <v>1630</v>
      </c>
      <c r="E62">
        <v>0</v>
      </c>
      <c r="F62" t="s">
        <v>1631</v>
      </c>
      <c r="G62" t="s">
        <v>1632</v>
      </c>
      <c r="H62" t="s">
        <v>1633</v>
      </c>
    </row>
    <row r="63" spans="1:8" x14ac:dyDescent="0.55000000000000004">
      <c r="A63" t="s">
        <v>6783</v>
      </c>
      <c r="B63" s="7" t="str">
        <f>HYPERLINK("[#]Feature_Schema_1!A7390:F7390","BRIDGE_PIER_P")</f>
        <v>BRIDGE_PIER_P</v>
      </c>
      <c r="C63" t="s">
        <v>6384</v>
      </c>
      <c r="D63" t="s">
        <v>1630</v>
      </c>
      <c r="E63">
        <v>0</v>
      </c>
      <c r="F63" t="s">
        <v>1631</v>
      </c>
      <c r="G63" t="s">
        <v>1632</v>
      </c>
      <c r="H63" t="s">
        <v>1633</v>
      </c>
    </row>
    <row r="64" spans="1:8" x14ac:dyDescent="0.55000000000000004">
      <c r="A64" t="s">
        <v>6767</v>
      </c>
      <c r="B64" s="7" t="str">
        <f>HYPERLINK("[#]Feature_Schema_1!A7439:F7439","BRIDGE_PIER_S")</f>
        <v>BRIDGE_PIER_S</v>
      </c>
      <c r="C64" t="s">
        <v>6384</v>
      </c>
      <c r="D64" t="s">
        <v>1630</v>
      </c>
      <c r="E64">
        <v>0</v>
      </c>
      <c r="F64" t="s">
        <v>1631</v>
      </c>
      <c r="G64" t="s">
        <v>1632</v>
      </c>
      <c r="H64" t="s">
        <v>1633</v>
      </c>
    </row>
    <row r="65" spans="1:8" x14ac:dyDescent="0.55000000000000004">
      <c r="A65" t="s">
        <v>6767</v>
      </c>
      <c r="B65" s="7" t="str">
        <f>HYPERLINK("[#]Feature_Schema_1!A7488:F7488","BRIDGE_S")</f>
        <v>BRIDGE_S</v>
      </c>
      <c r="C65" t="s">
        <v>1530</v>
      </c>
      <c r="D65" t="s">
        <v>1532</v>
      </c>
      <c r="E65">
        <v>0</v>
      </c>
      <c r="F65" t="s">
        <v>1533</v>
      </c>
      <c r="G65" t="s">
        <v>1534</v>
      </c>
      <c r="H65" t="s">
        <v>1531</v>
      </c>
    </row>
    <row r="66" spans="1:8" x14ac:dyDescent="0.55000000000000004">
      <c r="A66" t="s">
        <v>6766</v>
      </c>
      <c r="B66" s="7" t="str">
        <f>HYPERLINK("[#]Feature_Schema_1!A7736:F7736","BRIDGE_SPAN_C")</f>
        <v>BRIDGE_SPAN_C</v>
      </c>
      <c r="C66" t="s">
        <v>6385</v>
      </c>
      <c r="D66" t="s">
        <v>1618</v>
      </c>
      <c r="E66">
        <v>0</v>
      </c>
      <c r="F66" t="s">
        <v>1619</v>
      </c>
      <c r="G66" t="s">
        <v>1620</v>
      </c>
      <c r="H66" t="s">
        <v>1621</v>
      </c>
    </row>
    <row r="67" spans="1:8" x14ac:dyDescent="0.55000000000000004">
      <c r="A67" t="s">
        <v>6783</v>
      </c>
      <c r="B67" s="7" t="str">
        <f>HYPERLINK("[#]Feature_Schema_1!A7909:F7909","BRIDGE_SPAN_P")</f>
        <v>BRIDGE_SPAN_P</v>
      </c>
      <c r="C67" t="s">
        <v>6385</v>
      </c>
      <c r="D67" t="s">
        <v>1618</v>
      </c>
      <c r="E67">
        <v>0</v>
      </c>
      <c r="F67" t="s">
        <v>1619</v>
      </c>
      <c r="G67" t="s">
        <v>1620</v>
      </c>
      <c r="H67" t="s">
        <v>1621</v>
      </c>
    </row>
    <row r="68" spans="1:8" x14ac:dyDescent="0.55000000000000004">
      <c r="A68" t="s">
        <v>6767</v>
      </c>
      <c r="B68" s="7" t="str">
        <f>HYPERLINK("[#]Feature_Schema_1!A8082:F8082","BRIDGE_SPAN_S")</f>
        <v>BRIDGE_SPAN_S</v>
      </c>
      <c r="C68" t="s">
        <v>6385</v>
      </c>
      <c r="D68" t="s">
        <v>1618</v>
      </c>
      <c r="E68">
        <v>0</v>
      </c>
      <c r="F68" t="s">
        <v>1619</v>
      </c>
      <c r="G68" t="s">
        <v>1620</v>
      </c>
      <c r="H68" t="s">
        <v>1621</v>
      </c>
    </row>
    <row r="69" spans="1:8" x14ac:dyDescent="0.55000000000000004">
      <c r="A69" t="s">
        <v>6766</v>
      </c>
      <c r="B69" s="7" t="str">
        <f>HYPERLINK("[#]Feature_Schema_1!A8255:F8255","BRIDGE_SUPERSTRUCTURE_C")</f>
        <v>BRIDGE_SUPERSTRUCTURE_C</v>
      </c>
      <c r="C69" t="s">
        <v>6386</v>
      </c>
      <c r="D69" t="s">
        <v>1622</v>
      </c>
      <c r="E69">
        <v>0</v>
      </c>
      <c r="F69" t="s">
        <v>1623</v>
      </c>
      <c r="G69" t="s">
        <v>1624</v>
      </c>
      <c r="H69" t="s">
        <v>1625</v>
      </c>
    </row>
    <row r="70" spans="1:8" x14ac:dyDescent="0.55000000000000004">
      <c r="A70" t="s">
        <v>6767</v>
      </c>
      <c r="B70" s="7" t="str">
        <f>HYPERLINK("[#]Feature_Schema_1!A8327:F8327","BRIDGE_SUPERSTRUCTURE_S")</f>
        <v>BRIDGE_SUPERSTRUCTURE_S</v>
      </c>
      <c r="C70" t="s">
        <v>6386</v>
      </c>
      <c r="D70" t="s">
        <v>1622</v>
      </c>
      <c r="E70">
        <v>0</v>
      </c>
      <c r="F70" t="s">
        <v>1623</v>
      </c>
      <c r="G70" t="s">
        <v>1624</v>
      </c>
      <c r="H70" t="s">
        <v>1625</v>
      </c>
    </row>
    <row r="71" spans="1:8" x14ac:dyDescent="0.55000000000000004">
      <c r="A71" t="s">
        <v>6783</v>
      </c>
      <c r="B71" s="7" t="str">
        <f>HYPERLINK("[#]Feature_Schema_1!A8399:F8399","BRIDGE_TOWER_P")</f>
        <v>BRIDGE_TOWER_P</v>
      </c>
      <c r="C71" t="s">
        <v>6387</v>
      </c>
      <c r="D71" t="s">
        <v>1626</v>
      </c>
      <c r="E71">
        <v>0</v>
      </c>
      <c r="F71" t="s">
        <v>1627</v>
      </c>
      <c r="G71" t="s">
        <v>1628</v>
      </c>
      <c r="H71" t="s">
        <v>1629</v>
      </c>
    </row>
    <row r="72" spans="1:8" x14ac:dyDescent="0.55000000000000004">
      <c r="A72" t="s">
        <v>6781</v>
      </c>
      <c r="B72" s="7" t="str">
        <f>HYPERLINK("[#]Feature_Schema_1!A8459:F8459","BRUSH_S")</f>
        <v>BRUSH_S</v>
      </c>
      <c r="C72" t="s">
        <v>6388</v>
      </c>
      <c r="D72" t="s">
        <v>3087</v>
      </c>
      <c r="E72">
        <v>0</v>
      </c>
      <c r="F72" t="s">
        <v>3088</v>
      </c>
      <c r="G72" t="s">
        <v>3089</v>
      </c>
      <c r="H72" t="s">
        <v>3090</v>
      </c>
    </row>
    <row r="73" spans="1:8" x14ac:dyDescent="0.55000000000000004">
      <c r="A73" t="s">
        <v>6771</v>
      </c>
      <c r="B73" s="7" t="str">
        <f>HYPERLINK("[#]Feature_Schema_1!A8504:F8504","BUILDING_P")</f>
        <v>BUILDING_P</v>
      </c>
      <c r="C73" t="s">
        <v>6389</v>
      </c>
      <c r="D73" t="s">
        <v>475</v>
      </c>
      <c r="E73">
        <v>0</v>
      </c>
      <c r="F73" t="s">
        <v>476</v>
      </c>
      <c r="G73" t="s">
        <v>477</v>
      </c>
      <c r="H73" t="s">
        <v>478</v>
      </c>
    </row>
    <row r="74" spans="1:8" x14ac:dyDescent="0.55000000000000004">
      <c r="A74" t="s">
        <v>6772</v>
      </c>
      <c r="B74" s="7" t="str">
        <f>HYPERLINK("[#]Feature_Schema_1!A10248:F10248","BUILDING_S")</f>
        <v>BUILDING_S</v>
      </c>
      <c r="C74" t="s">
        <v>6389</v>
      </c>
      <c r="D74" t="s">
        <v>475</v>
      </c>
      <c r="E74">
        <v>0</v>
      </c>
      <c r="F74" t="s">
        <v>476</v>
      </c>
      <c r="G74" t="s">
        <v>477</v>
      </c>
      <c r="H74" t="s">
        <v>478</v>
      </c>
    </row>
    <row r="75" spans="1:8" x14ac:dyDescent="0.55000000000000004">
      <c r="A75" t="s">
        <v>6784</v>
      </c>
      <c r="B75" s="7" t="str">
        <f>HYPERLINK("[#]Feature_Schema_1!A11992:F11992","BUILDING_SUPERSTRUCTURE_C")</f>
        <v>BUILDING_SUPERSTRUCTURE_C</v>
      </c>
      <c r="C75" t="s">
        <v>6390</v>
      </c>
      <c r="D75" t="s">
        <v>868</v>
      </c>
      <c r="E75">
        <v>0</v>
      </c>
      <c r="F75" t="s">
        <v>869</v>
      </c>
      <c r="G75" t="s">
        <v>870</v>
      </c>
      <c r="H75" t="s">
        <v>871</v>
      </c>
    </row>
    <row r="76" spans="1:8" x14ac:dyDescent="0.55000000000000004">
      <c r="A76" t="s">
        <v>6771</v>
      </c>
      <c r="B76" s="7" t="str">
        <f>HYPERLINK("[#]Feature_Schema_1!A12084:F12084","BUILDING_SUPERSTRUCTURE_P")</f>
        <v>BUILDING_SUPERSTRUCTURE_P</v>
      </c>
      <c r="C76" t="s">
        <v>6390</v>
      </c>
      <c r="D76" t="s">
        <v>868</v>
      </c>
      <c r="E76">
        <v>0</v>
      </c>
      <c r="F76" t="s">
        <v>869</v>
      </c>
      <c r="G76" t="s">
        <v>870</v>
      </c>
      <c r="H76" t="s">
        <v>871</v>
      </c>
    </row>
    <row r="77" spans="1:8" x14ac:dyDescent="0.55000000000000004">
      <c r="A77" t="s">
        <v>6772</v>
      </c>
      <c r="B77" s="7" t="str">
        <f>HYPERLINK("[#]Feature_Schema_1!A12176:F12176","BUILDING_SUPERSTRUCTURE_S")</f>
        <v>BUILDING_SUPERSTRUCTURE_S</v>
      </c>
      <c r="C77" t="s">
        <v>6390</v>
      </c>
      <c r="D77" t="s">
        <v>868</v>
      </c>
      <c r="E77">
        <v>0</v>
      </c>
      <c r="F77" t="s">
        <v>869</v>
      </c>
      <c r="G77" t="s">
        <v>870</v>
      </c>
      <c r="H77" t="s">
        <v>871</v>
      </c>
    </row>
    <row r="78" spans="1:8" x14ac:dyDescent="0.55000000000000004">
      <c r="A78" t="s">
        <v>6785</v>
      </c>
      <c r="B78" s="7" t="str">
        <f>HYPERLINK("[#]Feature_Schema_1!A12268:F12268","BUILT_UP_AREA_P")</f>
        <v>BUILT_UP_AREA_P</v>
      </c>
      <c r="C78" t="s">
        <v>6391</v>
      </c>
      <c r="D78" t="s">
        <v>875</v>
      </c>
      <c r="E78">
        <v>0</v>
      </c>
      <c r="F78" t="s">
        <v>876</v>
      </c>
      <c r="G78" t="s">
        <v>877</v>
      </c>
      <c r="H78" t="s">
        <v>878</v>
      </c>
    </row>
    <row r="79" spans="1:8" x14ac:dyDescent="0.55000000000000004">
      <c r="A79" t="s">
        <v>6786</v>
      </c>
      <c r="B79" s="7" t="str">
        <f>HYPERLINK("[#]Feature_Schema_1!A12377:F12377","BUILT_UP_AREA_S")</f>
        <v>BUILT_UP_AREA_S</v>
      </c>
      <c r="C79" t="s">
        <v>6391</v>
      </c>
      <c r="D79" t="s">
        <v>875</v>
      </c>
      <c r="E79">
        <v>0</v>
      </c>
      <c r="F79" t="s">
        <v>876</v>
      </c>
      <c r="G79" t="s">
        <v>877</v>
      </c>
      <c r="H79" t="s">
        <v>878</v>
      </c>
    </row>
    <row r="80" spans="1:8" x14ac:dyDescent="0.55000000000000004">
      <c r="A80" t="s">
        <v>6787</v>
      </c>
      <c r="B80" s="7" t="str">
        <f>HYPERLINK("[#]Feature_Schema_1!A12486:F12486","BUOY_P")</f>
        <v>BUOY_P</v>
      </c>
      <c r="C80" t="s">
        <v>6392</v>
      </c>
      <c r="D80" t="s">
        <v>2147</v>
      </c>
      <c r="E80">
        <v>0</v>
      </c>
      <c r="F80" t="s">
        <v>2148</v>
      </c>
      <c r="G80" t="s">
        <v>2149</v>
      </c>
      <c r="H80" t="s">
        <v>2150</v>
      </c>
    </row>
    <row r="81" spans="1:8" x14ac:dyDescent="0.55000000000000004">
      <c r="A81" t="s">
        <v>6788</v>
      </c>
      <c r="B81" s="7" t="str">
        <f>HYPERLINK("[#]Feature_Schema_1!A12800:F12800","CABLE_C")</f>
        <v>CABLE_C</v>
      </c>
      <c r="C81" t="s">
        <v>6393</v>
      </c>
      <c r="D81" t="s">
        <v>1786</v>
      </c>
      <c r="E81">
        <v>0</v>
      </c>
      <c r="F81" t="s">
        <v>1787</v>
      </c>
      <c r="G81" t="s">
        <v>1788</v>
      </c>
      <c r="H81" t="s">
        <v>1789</v>
      </c>
    </row>
    <row r="82" spans="1:8" x14ac:dyDescent="0.55000000000000004">
      <c r="A82" t="s">
        <v>6766</v>
      </c>
      <c r="B82" s="7" t="str">
        <f>HYPERLINK("[#]Feature_Schema_1!A12956:F12956","CABLEWAY_C")</f>
        <v>CABLEWAY_C</v>
      </c>
      <c r="C82" t="s">
        <v>6394</v>
      </c>
      <c r="D82" t="s">
        <v>1818</v>
      </c>
      <c r="E82">
        <v>0</v>
      </c>
      <c r="F82" t="s">
        <v>1819</v>
      </c>
      <c r="G82" t="s">
        <v>1820</v>
      </c>
      <c r="H82" t="s">
        <v>1821</v>
      </c>
    </row>
    <row r="83" spans="1:8" x14ac:dyDescent="0.55000000000000004">
      <c r="A83" t="s">
        <v>6768</v>
      </c>
      <c r="B83" s="7" t="str">
        <f>HYPERLINK("[#]Feature_Schema_1!A13054:F13054","CAIRN_P")</f>
        <v>CAIRN_P</v>
      </c>
      <c r="C83" t="s">
        <v>6395</v>
      </c>
      <c r="D83" t="s">
        <v>887</v>
      </c>
      <c r="E83">
        <v>0</v>
      </c>
      <c r="F83" t="s">
        <v>888</v>
      </c>
      <c r="G83" t="s">
        <v>889</v>
      </c>
      <c r="H83" t="s">
        <v>890</v>
      </c>
    </row>
    <row r="84" spans="1:8" x14ac:dyDescent="0.55000000000000004">
      <c r="A84" t="s">
        <v>6753</v>
      </c>
      <c r="B84" s="7" t="str">
        <f>HYPERLINK("[#]Feature_Schema_1!A13102:F13102","CALLING_IN_POINT_P")</f>
        <v>CALLING_IN_POINT_P</v>
      </c>
      <c r="C84" t="s">
        <v>6396</v>
      </c>
      <c r="D84" t="s">
        <v>1978</v>
      </c>
      <c r="E84">
        <v>0</v>
      </c>
      <c r="F84" t="s">
        <v>1979</v>
      </c>
      <c r="G84" t="s">
        <v>1980</v>
      </c>
      <c r="H84" t="s">
        <v>1981</v>
      </c>
    </row>
    <row r="85" spans="1:8" x14ac:dyDescent="0.55000000000000004">
      <c r="A85" t="s">
        <v>6785</v>
      </c>
      <c r="B85" s="7" t="str">
        <f>HYPERLINK("[#]Feature_Schema_1!A13140:F13140","CAMP_P")</f>
        <v>CAMP_P</v>
      </c>
      <c r="C85" t="s">
        <v>6397</v>
      </c>
      <c r="D85" t="s">
        <v>253</v>
      </c>
      <c r="E85">
        <v>0</v>
      </c>
      <c r="F85" t="s">
        <v>254</v>
      </c>
      <c r="G85" t="s">
        <v>255</v>
      </c>
      <c r="H85" t="s">
        <v>256</v>
      </c>
    </row>
    <row r="86" spans="1:8" x14ac:dyDescent="0.55000000000000004">
      <c r="A86" t="s">
        <v>6786</v>
      </c>
      <c r="B86" s="7" t="str">
        <f>HYPERLINK("[#]Feature_Schema_1!A13260:F13260","CAMP_S")</f>
        <v>CAMP_S</v>
      </c>
      <c r="C86" t="s">
        <v>6397</v>
      </c>
      <c r="D86" t="s">
        <v>253</v>
      </c>
      <c r="E86">
        <v>0</v>
      </c>
      <c r="F86" t="s">
        <v>254</v>
      </c>
      <c r="G86" t="s">
        <v>255</v>
      </c>
      <c r="H86" t="s">
        <v>256</v>
      </c>
    </row>
    <row r="87" spans="1:8" x14ac:dyDescent="0.55000000000000004">
      <c r="A87" t="s">
        <v>6750</v>
      </c>
      <c r="B87" s="7" t="str">
        <f>HYPERLINK("[#]Feature_Schema_1!A13380:F13380","CAMP_SITE_P")</f>
        <v>CAMP_SITE_P</v>
      </c>
      <c r="C87" t="s">
        <v>6398</v>
      </c>
      <c r="D87" t="s">
        <v>343</v>
      </c>
      <c r="E87">
        <v>0</v>
      </c>
      <c r="F87" t="s">
        <v>344</v>
      </c>
      <c r="G87" t="s">
        <v>345</v>
      </c>
      <c r="H87" t="s">
        <v>346</v>
      </c>
    </row>
    <row r="88" spans="1:8" x14ac:dyDescent="0.55000000000000004">
      <c r="A88" t="s">
        <v>6751</v>
      </c>
      <c r="B88" s="7" t="str">
        <f>HYPERLINK("[#]Feature_Schema_1!A13435:F13435","CAMP_SITE_S")</f>
        <v>CAMP_SITE_S</v>
      </c>
      <c r="C88" t="s">
        <v>6398</v>
      </c>
      <c r="D88" t="s">
        <v>343</v>
      </c>
      <c r="E88">
        <v>0</v>
      </c>
      <c r="F88" t="s">
        <v>344</v>
      </c>
      <c r="G88" t="s">
        <v>345</v>
      </c>
      <c r="H88" t="s">
        <v>346</v>
      </c>
    </row>
    <row r="89" spans="1:8" x14ac:dyDescent="0.55000000000000004">
      <c r="A89" t="s">
        <v>6774</v>
      </c>
      <c r="B89" s="7" t="str">
        <f>HYPERLINK("[#]Feature_Schema_1!A13490:F13490","CANE_S")</f>
        <v>CANE_S</v>
      </c>
      <c r="C89" t="s">
        <v>6399</v>
      </c>
      <c r="D89" t="s">
        <v>3223</v>
      </c>
      <c r="E89">
        <v>0</v>
      </c>
      <c r="F89" t="s">
        <v>3224</v>
      </c>
      <c r="G89" t="s">
        <v>3225</v>
      </c>
      <c r="H89" t="s">
        <v>3226</v>
      </c>
    </row>
    <row r="90" spans="1:8" x14ac:dyDescent="0.55000000000000004">
      <c r="A90" t="s">
        <v>6789</v>
      </c>
      <c r="B90" s="7" t="str">
        <f>HYPERLINK("[#]Feature_Schema_1!A13529:F13529","CANTONMENT_AREA_S")</f>
        <v>CANTONMENT_AREA_S</v>
      </c>
      <c r="C90" t="s">
        <v>6400</v>
      </c>
    </row>
    <row r="91" spans="1:8" x14ac:dyDescent="0.55000000000000004">
      <c r="A91" t="s">
        <v>6786</v>
      </c>
      <c r="B91" s="7" t="str">
        <f>HYPERLINK("[#]Feature_Schema_1!A13583:F13583","CARAVAN_PARK_S")</f>
        <v>CARAVAN_PARK_S</v>
      </c>
      <c r="C91" t="s">
        <v>6401</v>
      </c>
      <c r="D91" t="s">
        <v>249</v>
      </c>
      <c r="E91">
        <v>0</v>
      </c>
      <c r="F91" t="s">
        <v>250</v>
      </c>
      <c r="G91" t="s">
        <v>251</v>
      </c>
      <c r="H91" t="s">
        <v>252</v>
      </c>
    </row>
    <row r="92" spans="1:8" x14ac:dyDescent="0.55000000000000004">
      <c r="A92" t="s">
        <v>6766</v>
      </c>
      <c r="B92" s="7" t="str">
        <f>HYPERLINK("[#]Feature_Schema_1!A13692:F13692","CART_TRACK_C")</f>
        <v>CART_TRACK_C</v>
      </c>
      <c r="C92" t="s">
        <v>6402</v>
      </c>
      <c r="D92" t="s">
        <v>1379</v>
      </c>
      <c r="E92">
        <v>0</v>
      </c>
      <c r="F92" t="s">
        <v>1380</v>
      </c>
      <c r="G92" t="s">
        <v>1381</v>
      </c>
      <c r="H92" t="s">
        <v>1382</v>
      </c>
    </row>
    <row r="93" spans="1:8" x14ac:dyDescent="0.55000000000000004">
      <c r="A93" t="s">
        <v>6790</v>
      </c>
      <c r="B93" s="7" t="str">
        <f>HYPERLINK("[#]Feature_Schema_1!A13801:F13801","CASTLE_COMPLEX_P")</f>
        <v>CASTLE_COMPLEX_P</v>
      </c>
      <c r="C93" t="s">
        <v>6403</v>
      </c>
      <c r="D93" s="11"/>
    </row>
    <row r="94" spans="1:8" x14ac:dyDescent="0.55000000000000004">
      <c r="A94" t="s">
        <v>6789</v>
      </c>
      <c r="B94" s="7" t="str">
        <f>HYPERLINK("[#]Feature_Schema_1!A13931:F13931","CASTLE_COMPLEX_S")</f>
        <v>CASTLE_COMPLEX_S</v>
      </c>
      <c r="C94" t="s">
        <v>6403</v>
      </c>
      <c r="D94" s="11"/>
    </row>
    <row r="95" spans="1:8" x14ac:dyDescent="0.55000000000000004">
      <c r="A95" t="s">
        <v>6790</v>
      </c>
      <c r="B95" s="7" t="str">
        <f>HYPERLINK("[#]Feature_Schema_1!A14061:F14061","CASTLE_P")</f>
        <v>CASTLE_P</v>
      </c>
      <c r="C95" s="12" t="s">
        <v>6404</v>
      </c>
      <c r="D95" s="12" t="s">
        <v>1179</v>
      </c>
      <c r="E95">
        <v>0</v>
      </c>
      <c r="F95" t="s">
        <v>497</v>
      </c>
      <c r="G95" t="s">
        <v>1180</v>
      </c>
      <c r="H95" t="s">
        <v>1181</v>
      </c>
    </row>
    <row r="96" spans="1:8" x14ac:dyDescent="0.55000000000000004">
      <c r="A96" t="s">
        <v>6789</v>
      </c>
      <c r="B96" s="7" t="str">
        <f>HYPERLINK("[#]Feature_Schema_1!A14215:F14215","CASTLE_S")</f>
        <v>CASTLE_S</v>
      </c>
      <c r="C96" s="12" t="s">
        <v>6404</v>
      </c>
      <c r="D96" s="12" t="s">
        <v>1179</v>
      </c>
      <c r="E96">
        <v>0</v>
      </c>
      <c r="F96" t="s">
        <v>497</v>
      </c>
      <c r="G96" t="s">
        <v>1180</v>
      </c>
      <c r="H96" t="s">
        <v>1181</v>
      </c>
    </row>
    <row r="97" spans="1:8" x14ac:dyDescent="0.55000000000000004">
      <c r="A97" t="s">
        <v>6780</v>
      </c>
      <c r="B97" s="7" t="str">
        <f>HYPERLINK("[#]Feature_Schema_1!A14369:F14369","CATALYTIC_CRACKER_P")</f>
        <v>CATALYTIC_CRACKER_P</v>
      </c>
      <c r="C97" t="s">
        <v>6405</v>
      </c>
      <c r="D97" t="s">
        <v>80</v>
      </c>
      <c r="E97">
        <v>0</v>
      </c>
      <c r="F97" t="s">
        <v>81</v>
      </c>
      <c r="G97" t="s">
        <v>82</v>
      </c>
      <c r="H97" t="s">
        <v>83</v>
      </c>
    </row>
    <row r="98" spans="1:8" x14ac:dyDescent="0.55000000000000004">
      <c r="A98" t="s">
        <v>6744</v>
      </c>
      <c r="B98" s="7" t="str">
        <f>HYPERLINK("[#]Feature_Schema_1!A14471:F14471","CATALYTIC_CRACKER_S")</f>
        <v>CATALYTIC_CRACKER_S</v>
      </c>
      <c r="C98" t="s">
        <v>6405</v>
      </c>
      <c r="D98" t="s">
        <v>80</v>
      </c>
      <c r="E98">
        <v>0</v>
      </c>
      <c r="F98" t="s">
        <v>81</v>
      </c>
      <c r="G98" t="s">
        <v>82</v>
      </c>
      <c r="H98" t="s">
        <v>83</v>
      </c>
    </row>
    <row r="99" spans="1:8" x14ac:dyDescent="0.55000000000000004">
      <c r="A99" t="s">
        <v>6766</v>
      </c>
      <c r="B99" s="7" t="str">
        <f>HYPERLINK("[#]Feature_Schema_1!A14573:F14573","CAUSEWAY_STRUCTURE_C")</f>
        <v>CAUSEWAY_STRUCTURE_C</v>
      </c>
      <c r="C99" t="s">
        <v>6406</v>
      </c>
      <c r="D99" t="s">
        <v>1646</v>
      </c>
      <c r="E99">
        <v>0</v>
      </c>
      <c r="F99" t="s">
        <v>1647</v>
      </c>
      <c r="G99" t="s">
        <v>1648</v>
      </c>
      <c r="H99" t="s">
        <v>1649</v>
      </c>
    </row>
    <row r="100" spans="1:8" x14ac:dyDescent="0.55000000000000004">
      <c r="A100" t="s">
        <v>6767</v>
      </c>
      <c r="B100" s="7" t="str">
        <f>HYPERLINK("[#]Feature_Schema_1!A14722:F14722","CAUSEWAY_STRUCTURE_S")</f>
        <v>CAUSEWAY_STRUCTURE_S</v>
      </c>
      <c r="C100" t="s">
        <v>6406</v>
      </c>
      <c r="D100" t="s">
        <v>1646</v>
      </c>
      <c r="E100">
        <v>0</v>
      </c>
      <c r="F100" t="s">
        <v>1647</v>
      </c>
      <c r="G100" t="s">
        <v>1648</v>
      </c>
      <c r="H100" t="s">
        <v>1649</v>
      </c>
    </row>
    <row r="101" spans="1:8" x14ac:dyDescent="0.55000000000000004">
      <c r="A101" t="s">
        <v>6765</v>
      </c>
      <c r="B101" s="7" t="str">
        <f>HYPERLINK("[#]Feature_Schema_1!A14871:F14871","CAVE_CHAMBER_S")</f>
        <v>CAVE_CHAMBER_S</v>
      </c>
      <c r="C101" t="s">
        <v>6407</v>
      </c>
    </row>
    <row r="102" spans="1:8" x14ac:dyDescent="0.55000000000000004">
      <c r="A102" t="s">
        <v>6791</v>
      </c>
      <c r="B102" s="7" t="str">
        <f>HYPERLINK("[#]Feature_Schema_1!A14969:F14969","CAVE_MOUTH_P")</f>
        <v>CAVE_MOUTH_P</v>
      </c>
      <c r="C102" t="s">
        <v>6408</v>
      </c>
    </row>
    <row r="103" spans="1:8" x14ac:dyDescent="0.55000000000000004">
      <c r="A103" t="s">
        <v>6768</v>
      </c>
      <c r="B103" s="7" t="str">
        <f>HYPERLINK("[#]Feature_Schema_1!A15063:F15063","CEMETERY_P")</f>
        <v>CEMETERY_P</v>
      </c>
      <c r="C103" t="s">
        <v>6409</v>
      </c>
      <c r="D103" t="s">
        <v>891</v>
      </c>
      <c r="E103">
        <v>0</v>
      </c>
      <c r="F103" t="s">
        <v>892</v>
      </c>
      <c r="G103" t="s">
        <v>893</v>
      </c>
      <c r="H103" t="s">
        <v>894</v>
      </c>
    </row>
    <row r="104" spans="1:8" x14ac:dyDescent="0.55000000000000004">
      <c r="A104" t="s">
        <v>6769</v>
      </c>
      <c r="B104" s="7" t="str">
        <f>HYPERLINK("[#]Feature_Schema_1!A15149:F15149","CEMETERY_S")</f>
        <v>CEMETERY_S</v>
      </c>
      <c r="C104" t="s">
        <v>6409</v>
      </c>
      <c r="D104" t="s">
        <v>891</v>
      </c>
      <c r="E104">
        <v>0</v>
      </c>
      <c r="F104" t="s">
        <v>892</v>
      </c>
      <c r="G104" t="s">
        <v>893</v>
      </c>
      <c r="H104" t="s">
        <v>894</v>
      </c>
    </row>
    <row r="105" spans="1:8" x14ac:dyDescent="0.55000000000000004">
      <c r="A105" t="s">
        <v>6783</v>
      </c>
      <c r="B105" s="7" t="str">
        <f>HYPERLINK("[#]Feature_Schema_1!A15235:F15235","CHECKPOINT_P")</f>
        <v>CHECKPOINT_P</v>
      </c>
      <c r="C105" t="s">
        <v>6410</v>
      </c>
      <c r="D105" t="s">
        <v>245</v>
      </c>
      <c r="E105">
        <v>0</v>
      </c>
      <c r="F105" t="s">
        <v>246</v>
      </c>
      <c r="G105" t="s">
        <v>247</v>
      </c>
      <c r="H105" t="s">
        <v>248</v>
      </c>
    </row>
    <row r="106" spans="1:8" x14ac:dyDescent="0.55000000000000004">
      <c r="A106" t="s">
        <v>6762</v>
      </c>
      <c r="B106" s="7" t="str">
        <f>HYPERLINK("[#]Feature_Schema_1!A15340:F15340","CISTERN_AON_S")</f>
        <v>CISTERN_AON_S</v>
      </c>
      <c r="C106" t="s">
        <v>6411</v>
      </c>
    </row>
    <row r="107" spans="1:8" x14ac:dyDescent="0.55000000000000004">
      <c r="A107" t="s">
        <v>6792</v>
      </c>
      <c r="B107" s="7" t="str">
        <f>HYPERLINK("[#]Feature_Schema_1!A15556:F15556","CISTERN_P")</f>
        <v>CISTERN_P</v>
      </c>
      <c r="C107" t="s">
        <v>6412</v>
      </c>
      <c r="D107" t="s">
        <v>2699</v>
      </c>
      <c r="E107">
        <v>0</v>
      </c>
      <c r="F107" t="s">
        <v>2700</v>
      </c>
      <c r="G107" t="s">
        <v>2701</v>
      </c>
      <c r="H107" t="s">
        <v>2702</v>
      </c>
    </row>
    <row r="108" spans="1:8" x14ac:dyDescent="0.55000000000000004">
      <c r="A108" t="s">
        <v>6793</v>
      </c>
      <c r="B108" s="7" t="str">
        <f>HYPERLINK("[#]Feature_Schema_1!A15773:F15773","CLEARED_WAY_C")</f>
        <v>CLEARED_WAY_C</v>
      </c>
      <c r="C108" t="s">
        <v>6413</v>
      </c>
      <c r="D108" t="s">
        <v>3328</v>
      </c>
      <c r="E108">
        <v>0</v>
      </c>
      <c r="F108" t="s">
        <v>3329</v>
      </c>
      <c r="G108" t="s">
        <v>3330</v>
      </c>
      <c r="H108" t="s">
        <v>3331</v>
      </c>
    </row>
    <row r="109" spans="1:8" x14ac:dyDescent="0.55000000000000004">
      <c r="A109" t="s">
        <v>6781</v>
      </c>
      <c r="B109" s="7" t="str">
        <f>HYPERLINK("[#]Feature_Schema_1!A15811:F15811","CLEARED_WAY_S")</f>
        <v>CLEARED_WAY_S</v>
      </c>
      <c r="C109" t="s">
        <v>6413</v>
      </c>
      <c r="D109" t="s">
        <v>3328</v>
      </c>
      <c r="E109">
        <v>0</v>
      </c>
      <c r="F109" t="s">
        <v>3329</v>
      </c>
      <c r="G109" t="s">
        <v>3330</v>
      </c>
      <c r="H109" t="s">
        <v>3331</v>
      </c>
    </row>
    <row r="110" spans="1:8" x14ac:dyDescent="0.55000000000000004">
      <c r="B110" s="7" t="str">
        <f>HYPERLINK("[#]Feature_Schema_1!A15849:F15849","CODE_LIST_T")</f>
        <v>CODE_LIST_T</v>
      </c>
      <c r="C110" t="s">
        <v>6414</v>
      </c>
    </row>
    <row r="111" spans="1:8" x14ac:dyDescent="0.55000000000000004">
      <c r="A111" t="s">
        <v>6769</v>
      </c>
      <c r="B111" s="7" t="str">
        <f>HYPERLINK("[#]Feature_Schema_1!A15873:F15873","CONSERVATION_AREA_S")</f>
        <v>CONSERVATION_AREA_S</v>
      </c>
      <c r="C111" t="s">
        <v>6415</v>
      </c>
      <c r="D111" t="s">
        <v>3524</v>
      </c>
      <c r="E111">
        <v>0</v>
      </c>
      <c r="F111" t="s">
        <v>3525</v>
      </c>
      <c r="G111" t="s">
        <v>3526</v>
      </c>
      <c r="H111" t="s">
        <v>3527</v>
      </c>
    </row>
    <row r="112" spans="1:8" x14ac:dyDescent="0.55000000000000004">
      <c r="A112" t="s">
        <v>6768</v>
      </c>
      <c r="B112" s="7" t="str">
        <f>HYPERLINK("[#]Feature_Schema_1!A15937:F15937","CONTAMINATED_REGION_P")</f>
        <v>CONTAMINATED_REGION_P</v>
      </c>
      <c r="C112" t="s">
        <v>6416</v>
      </c>
      <c r="D112" t="s">
        <v>3445</v>
      </c>
      <c r="E112">
        <v>0</v>
      </c>
      <c r="F112" t="s">
        <v>3446</v>
      </c>
      <c r="G112" t="s">
        <v>3447</v>
      </c>
      <c r="H112" t="s">
        <v>3448</v>
      </c>
    </row>
    <row r="113" spans="1:8" x14ac:dyDescent="0.55000000000000004">
      <c r="A113" t="s">
        <v>6769</v>
      </c>
      <c r="B113" s="7" t="str">
        <f>HYPERLINK("[#]Feature_Schema_1!A15992:F15992","CONTAMINATED_REGION_S")</f>
        <v>CONTAMINATED_REGION_S</v>
      </c>
      <c r="C113" t="s">
        <v>6416</v>
      </c>
      <c r="D113" t="s">
        <v>3445</v>
      </c>
      <c r="E113">
        <v>0</v>
      </c>
      <c r="F113" t="s">
        <v>3446</v>
      </c>
      <c r="G113" t="s">
        <v>3447</v>
      </c>
      <c r="H113" t="s">
        <v>3448</v>
      </c>
    </row>
    <row r="114" spans="1:8" x14ac:dyDescent="0.55000000000000004">
      <c r="A114" t="s">
        <v>6748</v>
      </c>
      <c r="B114" s="7" t="str">
        <f>HYPERLINK("[#]Feature_Schema_1!A16047:F16047","CONTROL_TOWER_P")</f>
        <v>CONTROL_TOWER_P</v>
      </c>
      <c r="C114" t="s">
        <v>6417</v>
      </c>
      <c r="D114" t="s">
        <v>1638</v>
      </c>
      <c r="E114">
        <v>0</v>
      </c>
      <c r="F114" t="s">
        <v>1639</v>
      </c>
      <c r="G114" t="s">
        <v>1640</v>
      </c>
      <c r="H114" t="s">
        <v>1641</v>
      </c>
    </row>
    <row r="115" spans="1:8" x14ac:dyDescent="0.55000000000000004">
      <c r="A115" t="s">
        <v>6749</v>
      </c>
      <c r="B115" s="7" t="str">
        <f>HYPERLINK("[#]Feature_Schema_1!A16279:F16279","CONTROL_TOWER_S")</f>
        <v>CONTROL_TOWER_S</v>
      </c>
      <c r="C115" t="s">
        <v>6417</v>
      </c>
      <c r="D115" t="s">
        <v>1638</v>
      </c>
      <c r="E115">
        <v>0</v>
      </c>
      <c r="F115" t="s">
        <v>1639</v>
      </c>
      <c r="G115" t="s">
        <v>1640</v>
      </c>
      <c r="H115" t="s">
        <v>1641</v>
      </c>
    </row>
    <row r="116" spans="1:8" x14ac:dyDescent="0.55000000000000004">
      <c r="A116" t="s">
        <v>6794</v>
      </c>
      <c r="B116" s="7" t="str">
        <f>HYPERLINK("[#]Feature_Schema_1!A16511:F16511","CONVEYOR_C")</f>
        <v>CONVEYOR_C</v>
      </c>
      <c r="C116" t="s">
        <v>6418</v>
      </c>
      <c r="D116" t="s">
        <v>177</v>
      </c>
      <c r="E116">
        <v>0</v>
      </c>
      <c r="F116" t="s">
        <v>178</v>
      </c>
      <c r="G116" t="s">
        <v>179</v>
      </c>
      <c r="H116" t="s">
        <v>180</v>
      </c>
    </row>
    <row r="117" spans="1:8" x14ac:dyDescent="0.55000000000000004">
      <c r="A117" t="s">
        <v>6780</v>
      </c>
      <c r="B117" s="7" t="str">
        <f>HYPERLINK("[#]Feature_Schema_1!A16637:F16637","CONVEYOR_P")</f>
        <v>CONVEYOR_P</v>
      </c>
      <c r="C117" t="s">
        <v>6418</v>
      </c>
    </row>
    <row r="118" spans="1:8" x14ac:dyDescent="0.55000000000000004">
      <c r="A118" t="s">
        <v>6745</v>
      </c>
      <c r="B118" s="7" t="str">
        <f>HYPERLINK("[#]Feature_Schema_1!A16763:F16763","COOLING_FACILITY_P")</f>
        <v>COOLING_FACILITY_P</v>
      </c>
      <c r="C118" t="s">
        <v>6419</v>
      </c>
      <c r="D118" t="s">
        <v>161</v>
      </c>
      <c r="E118">
        <v>0</v>
      </c>
      <c r="F118" t="s">
        <v>162</v>
      </c>
      <c r="G118" t="s">
        <v>163</v>
      </c>
      <c r="H118" t="s">
        <v>164</v>
      </c>
    </row>
    <row r="119" spans="1:8" x14ac:dyDescent="0.55000000000000004">
      <c r="A119" t="s">
        <v>6746</v>
      </c>
      <c r="B119" s="7" t="str">
        <f>HYPERLINK("[#]Feature_Schema_1!A16851:F16851","COOLING_FACILITY_S")</f>
        <v>COOLING_FACILITY_S</v>
      </c>
      <c r="C119" t="s">
        <v>6419</v>
      </c>
      <c r="D119" t="s">
        <v>161</v>
      </c>
      <c r="E119">
        <v>0</v>
      </c>
      <c r="F119" t="s">
        <v>162</v>
      </c>
      <c r="G119" t="s">
        <v>163</v>
      </c>
      <c r="H119" t="s">
        <v>164</v>
      </c>
    </row>
    <row r="120" spans="1:8" x14ac:dyDescent="0.55000000000000004">
      <c r="A120" t="s">
        <v>6745</v>
      </c>
      <c r="B120" s="7" t="str">
        <f>HYPERLINK("[#]Feature_Schema_1!A16939:F16939","COOLING_TOWER_P")</f>
        <v>COOLING_TOWER_P</v>
      </c>
      <c r="C120" t="s">
        <v>6420</v>
      </c>
      <c r="D120" t="s">
        <v>185</v>
      </c>
      <c r="E120">
        <v>0</v>
      </c>
      <c r="F120" t="s">
        <v>186</v>
      </c>
      <c r="G120" t="s">
        <v>187</v>
      </c>
      <c r="H120" t="s">
        <v>188</v>
      </c>
    </row>
    <row r="121" spans="1:8" x14ac:dyDescent="0.55000000000000004">
      <c r="A121" t="s">
        <v>6746</v>
      </c>
      <c r="B121" s="7" t="str">
        <f>HYPERLINK("[#]Feature_Schema_1!A17041:F17041","COOLING_TOWER_S")</f>
        <v>COOLING_TOWER_S</v>
      </c>
      <c r="C121" t="s">
        <v>6420</v>
      </c>
    </row>
    <row r="122" spans="1:8" x14ac:dyDescent="0.55000000000000004">
      <c r="A122" t="s">
        <v>6769</v>
      </c>
      <c r="B122" s="7" t="str">
        <f>HYPERLINK("[#]Feature_Schema_1!A17143:F17143","COURTYARD_S")</f>
        <v>COURTYARD_S</v>
      </c>
      <c r="C122" t="s">
        <v>6421</v>
      </c>
      <c r="D122" t="s">
        <v>1058</v>
      </c>
      <c r="E122">
        <v>0</v>
      </c>
      <c r="F122" t="s">
        <v>1059</v>
      </c>
      <c r="G122" t="s">
        <v>1060</v>
      </c>
      <c r="H122" t="s">
        <v>1061</v>
      </c>
    </row>
    <row r="123" spans="1:8" x14ac:dyDescent="0.55000000000000004">
      <c r="A123" t="s">
        <v>6780</v>
      </c>
      <c r="B123" s="7" t="str">
        <f>HYPERLINK("[#]Feature_Schema_1!A17229:F17229","CRANE_P")</f>
        <v>CRANE_P</v>
      </c>
      <c r="C123" t="s">
        <v>6422</v>
      </c>
      <c r="D123" t="s">
        <v>189</v>
      </c>
      <c r="E123">
        <v>0</v>
      </c>
      <c r="F123" t="s">
        <v>190</v>
      </c>
      <c r="G123" t="s">
        <v>191</v>
      </c>
      <c r="H123" t="s">
        <v>192</v>
      </c>
    </row>
    <row r="124" spans="1:8" x14ac:dyDescent="0.55000000000000004">
      <c r="A124" t="s">
        <v>6744</v>
      </c>
      <c r="B124" s="7" t="str">
        <f>HYPERLINK("[#]Feature_Schema_1!A17363:F17363","CRANE_S")</f>
        <v>CRANE_S</v>
      </c>
      <c r="C124" t="s">
        <v>6422</v>
      </c>
    </row>
    <row r="125" spans="1:8" x14ac:dyDescent="0.55000000000000004">
      <c r="A125" t="s">
        <v>6795</v>
      </c>
      <c r="B125" s="7" t="str">
        <f>HYPERLINK("[#]Feature_Schema_1!A17497:F17497","CRATER_P")</f>
        <v>CRATER_P</v>
      </c>
      <c r="C125" t="s">
        <v>6423</v>
      </c>
      <c r="D125" t="s">
        <v>2982</v>
      </c>
      <c r="E125">
        <v>0</v>
      </c>
      <c r="F125" t="s">
        <v>2983</v>
      </c>
      <c r="G125" t="s">
        <v>2984</v>
      </c>
      <c r="H125" t="s">
        <v>2985</v>
      </c>
    </row>
    <row r="126" spans="1:8" x14ac:dyDescent="0.55000000000000004">
      <c r="A126" t="s">
        <v>6778</v>
      </c>
      <c r="B126" s="7" t="str">
        <f>HYPERLINK("[#]Feature_Schema_1!A17537:F17537","CRATER_S")</f>
        <v>CRATER_S</v>
      </c>
      <c r="C126" t="s">
        <v>6423</v>
      </c>
      <c r="D126" t="s">
        <v>2982</v>
      </c>
      <c r="E126">
        <v>0</v>
      </c>
      <c r="F126" t="s">
        <v>2983</v>
      </c>
      <c r="G126" t="s">
        <v>2984</v>
      </c>
      <c r="H126" t="s">
        <v>2985</v>
      </c>
    </row>
    <row r="127" spans="1:8" x14ac:dyDescent="0.55000000000000004">
      <c r="A127" t="s">
        <v>6796</v>
      </c>
      <c r="B127" s="7" t="str">
        <f>HYPERLINK("[#]Feature_Schema_1!A17577:F17577","CREVASSE_C")</f>
        <v>CREVASSE_C</v>
      </c>
      <c r="C127" t="s">
        <v>6424</v>
      </c>
      <c r="D127" t="s">
        <v>2774</v>
      </c>
      <c r="E127">
        <v>0</v>
      </c>
      <c r="F127" t="s">
        <v>2775</v>
      </c>
      <c r="G127" t="s">
        <v>2776</v>
      </c>
      <c r="H127" t="s">
        <v>2777</v>
      </c>
    </row>
    <row r="128" spans="1:8" x14ac:dyDescent="0.55000000000000004">
      <c r="A128" t="s">
        <v>6770</v>
      </c>
      <c r="B128" s="7" t="str">
        <f>HYPERLINK("[#]Feature_Schema_1!A17617:F17617","CREVASSE_S")</f>
        <v>CREVASSE_S</v>
      </c>
      <c r="C128" t="s">
        <v>6424</v>
      </c>
    </row>
    <row r="129" spans="1:8" x14ac:dyDescent="0.55000000000000004">
      <c r="A129" t="s">
        <v>6796</v>
      </c>
      <c r="B129" s="7" t="str">
        <f>HYPERLINK("[#]Feature_Schema_1!A17657:F17657","CREVICE_C")</f>
        <v>CREVICE_C</v>
      </c>
      <c r="C129" t="s">
        <v>6425</v>
      </c>
      <c r="D129" t="s">
        <v>2915</v>
      </c>
      <c r="E129">
        <v>0</v>
      </c>
      <c r="F129" t="s">
        <v>2912</v>
      </c>
      <c r="G129" t="s">
        <v>2916</v>
      </c>
      <c r="H129" t="s">
        <v>2917</v>
      </c>
    </row>
    <row r="130" spans="1:8" x14ac:dyDescent="0.55000000000000004">
      <c r="A130" t="s">
        <v>6770</v>
      </c>
      <c r="B130" s="7" t="str">
        <f>HYPERLINK("[#]Feature_Schema_1!A17712:F17712","CREVICE_S")</f>
        <v>CREVICE_S</v>
      </c>
      <c r="C130" t="s">
        <v>6425</v>
      </c>
      <c r="D130" t="s">
        <v>2915</v>
      </c>
      <c r="E130">
        <v>0</v>
      </c>
      <c r="F130" t="s">
        <v>2912</v>
      </c>
      <c r="G130" t="s">
        <v>2916</v>
      </c>
      <c r="H130" t="s">
        <v>2917</v>
      </c>
    </row>
    <row r="131" spans="1:8" x14ac:dyDescent="0.55000000000000004">
      <c r="A131" t="s">
        <v>6760</v>
      </c>
      <c r="B131" s="7" t="str">
        <f>HYPERLINK("[#]Feature_Schema_1!A17767:F17767","CRIB_P")</f>
        <v>CRIB_P</v>
      </c>
      <c r="C131" t="s">
        <v>6426</v>
      </c>
      <c r="D131" t="s">
        <v>2255</v>
      </c>
      <c r="E131">
        <v>0</v>
      </c>
      <c r="F131" t="s">
        <v>2256</v>
      </c>
      <c r="G131" t="s">
        <v>2257</v>
      </c>
      <c r="H131" t="s">
        <v>2258</v>
      </c>
    </row>
    <row r="132" spans="1:8" x14ac:dyDescent="0.55000000000000004">
      <c r="A132" t="s">
        <v>6761</v>
      </c>
      <c r="B132" s="7" t="str">
        <f>HYPERLINK("[#]Feature_Schema_1!A17884:F17884","CRIB_S")</f>
        <v>CRIB_S</v>
      </c>
      <c r="C132" t="s">
        <v>6426</v>
      </c>
      <c r="D132" t="s">
        <v>2255</v>
      </c>
      <c r="E132">
        <v>0</v>
      </c>
      <c r="F132" t="s">
        <v>2256</v>
      </c>
      <c r="G132" t="s">
        <v>2257</v>
      </c>
      <c r="H132" t="s">
        <v>2258</v>
      </c>
    </row>
    <row r="133" spans="1:8" x14ac:dyDescent="0.55000000000000004">
      <c r="A133" t="s">
        <v>6774</v>
      </c>
      <c r="B133" s="7" t="str">
        <f>HYPERLINK("[#]Feature_Schema_1!A18001:F18001","CROP_LAND_S")</f>
        <v>CROP_LAND_S</v>
      </c>
      <c r="C133" t="s">
        <v>6427</v>
      </c>
      <c r="D133" t="s">
        <v>3028</v>
      </c>
      <c r="E133">
        <v>0</v>
      </c>
      <c r="F133" t="s">
        <v>3027</v>
      </c>
      <c r="G133" t="s">
        <v>3029</v>
      </c>
      <c r="H133" t="s">
        <v>3030</v>
      </c>
    </row>
    <row r="134" spans="1:8" x14ac:dyDescent="0.55000000000000004">
      <c r="A134" t="s">
        <v>6783</v>
      </c>
      <c r="B134" s="7" t="str">
        <f>HYPERLINK("[#]Feature_Schema_1!A18192:F18192","CROSSING_P")</f>
        <v>CROSSING_P</v>
      </c>
      <c r="C134" t="s">
        <v>6428</v>
      </c>
      <c r="D134" t="s">
        <v>1642</v>
      </c>
      <c r="E134">
        <v>0</v>
      </c>
      <c r="F134" t="s">
        <v>1643</v>
      </c>
      <c r="G134" t="s">
        <v>1644</v>
      </c>
      <c r="H134" t="s">
        <v>1645</v>
      </c>
    </row>
    <row r="135" spans="1:8" x14ac:dyDescent="0.55000000000000004">
      <c r="A135" t="s">
        <v>6797</v>
      </c>
      <c r="B135" s="7" t="str">
        <f>HYPERLINK("[#]Feature_Schema_1!A18274:F18274","CULTURAL_CONTEXT_LOCATION_P")</f>
        <v>CULTURAL_CONTEXT_LOCATION_P</v>
      </c>
      <c r="C135" t="s">
        <v>6429</v>
      </c>
      <c r="D135" t="s">
        <v>6072</v>
      </c>
      <c r="E135">
        <v>0</v>
      </c>
      <c r="F135" t="s">
        <v>6073</v>
      </c>
      <c r="G135" t="s">
        <v>6074</v>
      </c>
      <c r="H135" t="s">
        <v>6075</v>
      </c>
    </row>
    <row r="136" spans="1:8" x14ac:dyDescent="0.55000000000000004">
      <c r="A136" t="s">
        <v>6798</v>
      </c>
      <c r="B136" s="7" t="str">
        <f>HYPERLINK("[#]Feature_Schema_1!A18336:F18336","CULTURAL_CONTEXT_LOCATION_S")</f>
        <v>CULTURAL_CONTEXT_LOCATION_S</v>
      </c>
      <c r="C136" t="s">
        <v>6429</v>
      </c>
      <c r="D136" t="s">
        <v>6072</v>
      </c>
      <c r="E136">
        <v>0</v>
      </c>
      <c r="F136" t="s">
        <v>6073</v>
      </c>
      <c r="G136" t="s">
        <v>6074</v>
      </c>
      <c r="H136" t="s">
        <v>6075</v>
      </c>
    </row>
    <row r="137" spans="1:8" x14ac:dyDescent="0.55000000000000004">
      <c r="A137" t="s">
        <v>6766</v>
      </c>
      <c r="B137" s="7" t="str">
        <f>HYPERLINK("[#]Feature_Schema_1!A18398:F18398","CULVERT_C")</f>
        <v>CULVERT_C</v>
      </c>
      <c r="C137" t="s">
        <v>6430</v>
      </c>
      <c r="D137" t="s">
        <v>1654</v>
      </c>
      <c r="E137">
        <v>0</v>
      </c>
      <c r="F137" t="s">
        <v>1655</v>
      </c>
      <c r="G137" t="s">
        <v>1656</v>
      </c>
      <c r="H137" t="s">
        <v>1657</v>
      </c>
    </row>
    <row r="138" spans="1:8" x14ac:dyDescent="0.55000000000000004">
      <c r="A138" t="s">
        <v>6783</v>
      </c>
      <c r="B138" s="7" t="str">
        <f>HYPERLINK("[#]Feature_Schema_1!A18478:F18478","CULVERT_P")</f>
        <v>CULVERT_P</v>
      </c>
      <c r="C138" t="s">
        <v>6430</v>
      </c>
      <c r="D138" t="s">
        <v>1654</v>
      </c>
      <c r="E138">
        <v>0</v>
      </c>
      <c r="F138" t="s">
        <v>1655</v>
      </c>
      <c r="G138" t="s">
        <v>1656</v>
      </c>
      <c r="H138" t="s">
        <v>1657</v>
      </c>
    </row>
    <row r="139" spans="1:8" x14ac:dyDescent="0.55000000000000004">
      <c r="A139" t="s">
        <v>6796</v>
      </c>
      <c r="B139" s="7" t="str">
        <f>HYPERLINK("[#]Feature_Schema_1!A18558:F18558","CUT_C")</f>
        <v>CUT_C</v>
      </c>
      <c r="C139" t="s">
        <v>6431</v>
      </c>
      <c r="D139" t="s">
        <v>2918</v>
      </c>
      <c r="E139">
        <v>0</v>
      </c>
      <c r="F139" t="s">
        <v>2919</v>
      </c>
      <c r="G139" t="s">
        <v>2920</v>
      </c>
      <c r="H139" t="s">
        <v>2921</v>
      </c>
    </row>
    <row r="140" spans="1:8" x14ac:dyDescent="0.55000000000000004">
      <c r="A140" t="s">
        <v>6796</v>
      </c>
      <c r="B140" s="7" t="str">
        <f>HYPERLINK("[#]Feature_Schema_1!A18638:F18638","CUT_LINE_C")</f>
        <v>CUT_LINE_C</v>
      </c>
      <c r="C140" t="s">
        <v>6432</v>
      </c>
      <c r="D140" t="s">
        <v>2922</v>
      </c>
      <c r="E140">
        <v>0</v>
      </c>
      <c r="F140" t="s">
        <v>2923</v>
      </c>
      <c r="G140" t="s">
        <v>2924</v>
      </c>
      <c r="H140" t="s">
        <v>2925</v>
      </c>
    </row>
    <row r="141" spans="1:8" x14ac:dyDescent="0.55000000000000004">
      <c r="A141" t="s">
        <v>6763</v>
      </c>
      <c r="B141" s="7" t="str">
        <f>HYPERLINK("[#]Feature_Schema_1!A18695:F18695","DAM_C")</f>
        <v>DAM_C</v>
      </c>
      <c r="C141" t="s">
        <v>6433</v>
      </c>
      <c r="D141" t="s">
        <v>2703</v>
      </c>
      <c r="E141">
        <v>0</v>
      </c>
      <c r="F141" t="s">
        <v>2704</v>
      </c>
      <c r="G141" t="s">
        <v>2705</v>
      </c>
      <c r="H141" t="s">
        <v>2706</v>
      </c>
    </row>
    <row r="142" spans="1:8" x14ac:dyDescent="0.55000000000000004">
      <c r="A142" t="s">
        <v>6792</v>
      </c>
      <c r="B142" s="7" t="str">
        <f>HYPERLINK("[#]Feature_Schema_1!A18896:F18896","DAM_P")</f>
        <v>DAM_P</v>
      </c>
      <c r="C142" t="s">
        <v>6433</v>
      </c>
      <c r="D142" t="s">
        <v>2703</v>
      </c>
      <c r="E142">
        <v>0</v>
      </c>
      <c r="F142" t="s">
        <v>2704</v>
      </c>
      <c r="G142" t="s">
        <v>2705</v>
      </c>
      <c r="H142" t="s">
        <v>2706</v>
      </c>
    </row>
    <row r="143" spans="1:8" x14ac:dyDescent="0.55000000000000004">
      <c r="A143" t="s">
        <v>6764</v>
      </c>
      <c r="B143" s="7" t="str">
        <f>HYPERLINK("[#]Feature_Schema_1!A19097:F19097","DAM_S")</f>
        <v>DAM_S</v>
      </c>
      <c r="C143" t="s">
        <v>6433</v>
      </c>
      <c r="D143" t="s">
        <v>2703</v>
      </c>
      <c r="E143">
        <v>0</v>
      </c>
      <c r="F143" t="s">
        <v>2704</v>
      </c>
      <c r="G143" t="s">
        <v>2705</v>
      </c>
      <c r="H143" t="s">
        <v>2706</v>
      </c>
    </row>
    <row r="144" spans="1:8" x14ac:dyDescent="0.55000000000000004">
      <c r="A144" s="9" t="s">
        <v>6799</v>
      </c>
      <c r="B144" s="8" t="str">
        <f>HYPERLINK("[#]Feature_Schema_1!A19298:F19298","DATASET_S")</f>
        <v>DATASET_S</v>
      </c>
      <c r="C144" s="9" t="s">
        <v>6434</v>
      </c>
      <c r="D144" t="s">
        <v>6267</v>
      </c>
      <c r="E144">
        <v>0</v>
      </c>
      <c r="F144" t="s">
        <v>6268</v>
      </c>
      <c r="G144" t="s">
        <v>6269</v>
      </c>
      <c r="H144" t="s">
        <v>6270</v>
      </c>
    </row>
    <row r="145" spans="1:8" x14ac:dyDescent="0.55000000000000004">
      <c r="A145" s="9"/>
      <c r="B145" s="8" t="str">
        <f>HYPERLINK("[#]Feature_Schema_1!A19340:F19340","DATASET_T")</f>
        <v>DATASET_T</v>
      </c>
      <c r="C145" s="9" t="s">
        <v>6434</v>
      </c>
      <c r="D145" t="s">
        <v>6267</v>
      </c>
      <c r="E145">
        <v>0</v>
      </c>
      <c r="F145" t="s">
        <v>6268</v>
      </c>
      <c r="G145" t="s">
        <v>6269</v>
      </c>
      <c r="H145" t="s">
        <v>6270</v>
      </c>
    </row>
    <row r="146" spans="1:8" x14ac:dyDescent="0.55000000000000004">
      <c r="A146" t="s">
        <v>6800</v>
      </c>
      <c r="B146" s="7" t="str">
        <f>HYPERLINK("[#]Feature_Schema_1!A19382:F19382","DEFENSIVE_REVETMENT_C")</f>
        <v>DEFENSIVE_REVETMENT_C</v>
      </c>
      <c r="C146" t="s">
        <v>6435</v>
      </c>
      <c r="D146" t="s">
        <v>3782</v>
      </c>
      <c r="E146">
        <v>0</v>
      </c>
      <c r="F146" t="s">
        <v>3783</v>
      </c>
      <c r="G146" t="s">
        <v>3784</v>
      </c>
      <c r="H146" t="s">
        <v>3785</v>
      </c>
    </row>
    <row r="147" spans="1:8" x14ac:dyDescent="0.55000000000000004">
      <c r="A147" t="s">
        <v>6795</v>
      </c>
      <c r="B147" s="7" t="str">
        <f>HYPERLINK("[#]Feature_Schema_1!A19481:F19481","DEPRESSION_P")</f>
        <v>DEPRESSION_P</v>
      </c>
      <c r="C147" t="s">
        <v>6436</v>
      </c>
      <c r="D147" t="s">
        <v>2930</v>
      </c>
      <c r="E147">
        <v>0</v>
      </c>
      <c r="F147" t="s">
        <v>2931</v>
      </c>
      <c r="G147" t="s">
        <v>2932</v>
      </c>
      <c r="H147" t="s">
        <v>2933</v>
      </c>
    </row>
    <row r="148" spans="1:8" x14ac:dyDescent="0.55000000000000004">
      <c r="A148" t="s">
        <v>6770</v>
      </c>
      <c r="B148" s="7" t="str">
        <f>HYPERLINK("[#]Feature_Schema_1!A19524:F19524","DEPRESSION_S")</f>
        <v>DEPRESSION_S</v>
      </c>
      <c r="C148" t="s">
        <v>6436</v>
      </c>
      <c r="D148" t="s">
        <v>2930</v>
      </c>
      <c r="E148">
        <v>0</v>
      </c>
      <c r="F148" t="s">
        <v>2931</v>
      </c>
      <c r="G148" t="s">
        <v>2932</v>
      </c>
      <c r="H148" t="s">
        <v>2933</v>
      </c>
    </row>
    <row r="149" spans="1:8" x14ac:dyDescent="0.55000000000000004">
      <c r="A149" t="s">
        <v>6761</v>
      </c>
      <c r="B149" s="7" t="str">
        <f>HYPERLINK("[#]Feature_Schema_1!A19567:F19567","DEPTH_AREA_S")</f>
        <v>DEPTH_AREA_S</v>
      </c>
      <c r="C149" t="s">
        <v>6437</v>
      </c>
      <c r="D149" t="s">
        <v>2413</v>
      </c>
      <c r="E149">
        <v>0</v>
      </c>
      <c r="F149" t="s">
        <v>2414</v>
      </c>
      <c r="G149" t="s">
        <v>2415</v>
      </c>
      <c r="H149" t="s">
        <v>2416</v>
      </c>
    </row>
    <row r="150" spans="1:8" x14ac:dyDescent="0.55000000000000004">
      <c r="A150" t="s">
        <v>6801</v>
      </c>
      <c r="B150" s="7" t="str">
        <f>HYPERLINK("[#]Feature_Schema_1!A19597:F19597","DEPTH_CONTOUR_C")</f>
        <v>DEPTH_CONTOUR_C</v>
      </c>
      <c r="C150" t="s">
        <v>6438</v>
      </c>
      <c r="D150" t="s">
        <v>2409</v>
      </c>
      <c r="E150">
        <v>0</v>
      </c>
      <c r="F150" t="s">
        <v>2410</v>
      </c>
      <c r="G150" t="s">
        <v>2411</v>
      </c>
      <c r="H150" t="s">
        <v>2412</v>
      </c>
    </row>
    <row r="151" spans="1:8" x14ac:dyDescent="0.55000000000000004">
      <c r="A151" t="s">
        <v>6801</v>
      </c>
      <c r="B151" s="7" t="str">
        <f>HYPERLINK("[#]Feature_Schema_1!A19628:F19628","DEPTH_CURVE_C")</f>
        <v>DEPTH_CURVE_C</v>
      </c>
      <c r="C151" t="s">
        <v>6439</v>
      </c>
      <c r="D151" t="s">
        <v>2405</v>
      </c>
      <c r="E151">
        <v>0</v>
      </c>
      <c r="F151" t="s">
        <v>2406</v>
      </c>
      <c r="G151" t="s">
        <v>2407</v>
      </c>
      <c r="H151" t="s">
        <v>2408</v>
      </c>
    </row>
    <row r="152" spans="1:8" x14ac:dyDescent="0.55000000000000004">
      <c r="A152" t="s">
        <v>6770</v>
      </c>
      <c r="B152" s="7" t="str">
        <f>HYPERLINK("[#]Feature_Schema_1!A19817:F19817","DESERT_S")</f>
        <v>DESERT_S</v>
      </c>
      <c r="C152" t="s">
        <v>6440</v>
      </c>
      <c r="D152" t="s">
        <v>3401</v>
      </c>
      <c r="E152">
        <v>0</v>
      </c>
      <c r="F152" t="s">
        <v>3402</v>
      </c>
      <c r="G152" t="s">
        <v>3403</v>
      </c>
      <c r="H152" t="s">
        <v>3404</v>
      </c>
    </row>
    <row r="153" spans="1:8" x14ac:dyDescent="0.55000000000000004">
      <c r="A153" t="s">
        <v>6760</v>
      </c>
      <c r="B153" s="7" t="str">
        <f>HYPERLINK("[#]Feature_Schema_1!A19896:F19896","DISCOLOURED_WATER_P")</f>
        <v>DISCOLOURED_WATER_P</v>
      </c>
      <c r="C153" t="s">
        <v>6441</v>
      </c>
      <c r="D153" t="s">
        <v>2259</v>
      </c>
      <c r="E153">
        <v>0</v>
      </c>
      <c r="F153" t="s">
        <v>2260</v>
      </c>
      <c r="G153" t="s">
        <v>2261</v>
      </c>
      <c r="H153" t="s">
        <v>2262</v>
      </c>
    </row>
    <row r="154" spans="1:8" x14ac:dyDescent="0.55000000000000004">
      <c r="A154" t="s">
        <v>6761</v>
      </c>
      <c r="B154" s="7" t="str">
        <f>HYPERLINK("[#]Feature_Schema_1!A19933:F19933","DISCOLOURED_WATER_S")</f>
        <v>DISCOLOURED_WATER_S</v>
      </c>
      <c r="C154" t="s">
        <v>6441</v>
      </c>
      <c r="D154" t="s">
        <v>2259</v>
      </c>
      <c r="E154">
        <v>0</v>
      </c>
      <c r="F154" t="s">
        <v>2260</v>
      </c>
      <c r="G154" t="s">
        <v>2261</v>
      </c>
      <c r="H154" t="s">
        <v>2262</v>
      </c>
    </row>
    <row r="155" spans="1:8" x14ac:dyDescent="0.55000000000000004">
      <c r="A155" t="s">
        <v>6745</v>
      </c>
      <c r="B155" s="7" t="str">
        <f>HYPERLINK("[#]Feature_Schema_1!A19970:F19970","DISH_AERIAL_P")</f>
        <v>DISH_AERIAL_P</v>
      </c>
      <c r="C155" t="s">
        <v>6442</v>
      </c>
      <c r="D155" t="s">
        <v>1794</v>
      </c>
      <c r="E155">
        <v>0</v>
      </c>
      <c r="F155" t="s">
        <v>1795</v>
      </c>
      <c r="G155" t="s">
        <v>1796</v>
      </c>
      <c r="H155" t="s">
        <v>1797</v>
      </c>
    </row>
    <row r="156" spans="1:8" x14ac:dyDescent="0.55000000000000004">
      <c r="A156" t="s">
        <v>6780</v>
      </c>
      <c r="B156" s="7" t="str">
        <f>HYPERLINK("[#]Feature_Schema_1!A20051:F20051","DISPOSAL_SITE_P")</f>
        <v>DISPOSAL_SITE_P</v>
      </c>
      <c r="C156" t="s">
        <v>6443</v>
      </c>
      <c r="D156" t="s">
        <v>41</v>
      </c>
      <c r="E156">
        <v>0</v>
      </c>
      <c r="F156" t="s">
        <v>42</v>
      </c>
      <c r="G156" t="s">
        <v>43</v>
      </c>
      <c r="H156" t="s">
        <v>44</v>
      </c>
    </row>
    <row r="157" spans="1:8" x14ac:dyDescent="0.55000000000000004">
      <c r="A157" t="s">
        <v>6744</v>
      </c>
      <c r="B157" s="7" t="str">
        <f>HYPERLINK("[#]Feature_Schema_1!A20133:F20133","DISPOSAL_SITE_S")</f>
        <v>DISPOSAL_SITE_S</v>
      </c>
      <c r="C157" t="s">
        <v>6443</v>
      </c>
    </row>
    <row r="158" spans="1:8" x14ac:dyDescent="0.55000000000000004">
      <c r="A158" t="s">
        <v>6802</v>
      </c>
      <c r="B158" s="7" t="str">
        <f>HYPERLINK("[#]Feature_Schema_1!A20215:F20215","DISTANCE_MARK_P")</f>
        <v>DISTANCE_MARK_P</v>
      </c>
      <c r="C158" t="s">
        <v>6444</v>
      </c>
      <c r="D158" t="s">
        <v>6021</v>
      </c>
      <c r="E158">
        <v>0</v>
      </c>
      <c r="F158" t="s">
        <v>5680</v>
      </c>
      <c r="G158" t="s">
        <v>6022</v>
      </c>
      <c r="H158" t="s">
        <v>6023</v>
      </c>
    </row>
    <row r="159" spans="1:8" x14ac:dyDescent="0.55000000000000004">
      <c r="A159" t="s">
        <v>6762</v>
      </c>
      <c r="B159" s="7" t="str">
        <f>HYPERLINK("[#]Feature_Schema_1!A20288:F20288","DITCH_AON_S")</f>
        <v>DITCH_AON_S</v>
      </c>
      <c r="C159" t="s">
        <v>6445</v>
      </c>
    </row>
    <row r="160" spans="1:8" x14ac:dyDescent="0.55000000000000004">
      <c r="A160" t="s">
        <v>6763</v>
      </c>
      <c r="B160" s="7" t="str">
        <f>HYPERLINK("[#]Feature_Schema_1!A20517:F20517","DITCH_C")</f>
        <v>DITCH_C</v>
      </c>
      <c r="C160" t="s">
        <v>6446</v>
      </c>
      <c r="D160" t="s">
        <v>2512</v>
      </c>
      <c r="E160">
        <v>0</v>
      </c>
      <c r="F160" t="s">
        <v>2513</v>
      </c>
      <c r="G160" t="s">
        <v>2514</v>
      </c>
      <c r="H160" t="s">
        <v>2515</v>
      </c>
    </row>
    <row r="161" spans="1:8" x14ac:dyDescent="0.55000000000000004">
      <c r="A161" t="s">
        <v>6764</v>
      </c>
      <c r="B161" s="7" t="str">
        <f>HYPERLINK("[#]Feature_Schema_1!A20982:F20982","DITCH_S")</f>
        <v>DITCH_S</v>
      </c>
      <c r="C161" t="s">
        <v>6446</v>
      </c>
      <c r="D161" t="s">
        <v>2512</v>
      </c>
      <c r="E161">
        <v>0</v>
      </c>
      <c r="F161" t="s">
        <v>2513</v>
      </c>
      <c r="G161" t="s">
        <v>2514</v>
      </c>
      <c r="H161" t="s">
        <v>2515</v>
      </c>
    </row>
    <row r="162" spans="1:8" x14ac:dyDescent="0.55000000000000004">
      <c r="A162" t="s">
        <v>6753</v>
      </c>
      <c r="B162" s="7" t="str">
        <f>HYPERLINK("[#]Feature_Schema_1!A21447:F21447","DOLPHIN_P")</f>
        <v>DOLPHIN_P</v>
      </c>
      <c r="C162" t="s">
        <v>6447</v>
      </c>
      <c r="D162" t="s">
        <v>1986</v>
      </c>
      <c r="E162">
        <v>0</v>
      </c>
      <c r="F162" t="s">
        <v>1987</v>
      </c>
      <c r="G162" t="s">
        <v>1988</v>
      </c>
      <c r="H162" t="s">
        <v>1989</v>
      </c>
    </row>
    <row r="163" spans="1:8" x14ac:dyDescent="0.55000000000000004">
      <c r="A163" t="s">
        <v>6800</v>
      </c>
      <c r="B163" s="7" t="str">
        <f>HYPERLINK("[#]Feature_Schema_1!A21499:F21499","DRAGONS_TEETH_C")</f>
        <v>DRAGONS_TEETH_C</v>
      </c>
      <c r="C163" t="s">
        <v>6448</v>
      </c>
      <c r="D163" t="s">
        <v>915</v>
      </c>
      <c r="E163">
        <v>0</v>
      </c>
      <c r="F163" t="s">
        <v>916</v>
      </c>
      <c r="G163" t="s">
        <v>917</v>
      </c>
      <c r="H163" t="s">
        <v>918</v>
      </c>
    </row>
    <row r="164" spans="1:8" x14ac:dyDescent="0.55000000000000004">
      <c r="A164" t="s">
        <v>6789</v>
      </c>
      <c r="B164" s="7" t="str">
        <f>HYPERLINK("[#]Feature_Schema_1!A21567:F21567","DRAGONS_TEETH_S")</f>
        <v>DRAGONS_TEETH_S</v>
      </c>
      <c r="C164" t="s">
        <v>6448</v>
      </c>
      <c r="D164" t="s">
        <v>915</v>
      </c>
      <c r="E164">
        <v>0</v>
      </c>
      <c r="F164" t="s">
        <v>916</v>
      </c>
      <c r="G164" t="s">
        <v>917</v>
      </c>
      <c r="H164" t="s">
        <v>918</v>
      </c>
    </row>
    <row r="165" spans="1:8" x14ac:dyDescent="0.55000000000000004">
      <c r="A165" t="s">
        <v>6778</v>
      </c>
      <c r="B165" s="7" t="str">
        <f>HYPERLINK("[#]Feature_Schema_1!A21635:F21635","DRAINAGE_BASIN_S")</f>
        <v>DRAINAGE_BASIN_S</v>
      </c>
      <c r="C165" t="s">
        <v>6449</v>
      </c>
      <c r="D165" t="s">
        <v>4233</v>
      </c>
      <c r="E165">
        <v>0</v>
      </c>
      <c r="F165" t="s">
        <v>4234</v>
      </c>
      <c r="G165" t="s">
        <v>4235</v>
      </c>
      <c r="H165" t="s">
        <v>4236</v>
      </c>
    </row>
    <row r="166" spans="1:8" x14ac:dyDescent="0.55000000000000004">
      <c r="A166" t="s">
        <v>6761</v>
      </c>
      <c r="B166" s="7" t="str">
        <f>HYPERLINK("[#]Feature_Schema_1!A21687:F21687","DREDGED_AREA_S")</f>
        <v>DREDGED_AREA_S</v>
      </c>
      <c r="C166" t="s">
        <v>6450</v>
      </c>
      <c r="D166" t="s">
        <v>3548</v>
      </c>
      <c r="E166">
        <v>0</v>
      </c>
      <c r="F166" t="s">
        <v>3549</v>
      </c>
      <c r="G166" t="s">
        <v>3550</v>
      </c>
      <c r="H166" t="s">
        <v>3551</v>
      </c>
    </row>
    <row r="167" spans="1:8" x14ac:dyDescent="0.55000000000000004">
      <c r="A167" t="s">
        <v>6751</v>
      </c>
      <c r="B167" s="7" t="str">
        <f>HYPERLINK("[#]Feature_Schema_1!A21898:F21898","DRIVE_IN_THEATRE_S")</f>
        <v>DRIVE_IN_THEATRE_S</v>
      </c>
      <c r="C167" t="s">
        <v>6451</v>
      </c>
      <c r="D167" t="s">
        <v>351</v>
      </c>
      <c r="E167">
        <v>0</v>
      </c>
      <c r="F167" t="s">
        <v>352</v>
      </c>
      <c r="G167" t="s">
        <v>353</v>
      </c>
      <c r="H167" t="s">
        <v>354</v>
      </c>
    </row>
    <row r="168" spans="1:8" x14ac:dyDescent="0.55000000000000004">
      <c r="A168" t="s">
        <v>6803</v>
      </c>
      <c r="B168" s="7" t="str">
        <f>HYPERLINK("[#]Feature_Schema_1!A21998:F21998","DRY_DOCK_S")</f>
        <v>DRY_DOCK_S</v>
      </c>
      <c r="C168" t="s">
        <v>6452</v>
      </c>
      <c r="D168" t="s">
        <v>1998</v>
      </c>
      <c r="E168">
        <v>0</v>
      </c>
      <c r="F168" t="s">
        <v>1999</v>
      </c>
      <c r="G168" t="s">
        <v>2000</v>
      </c>
      <c r="H168" t="s">
        <v>2001</v>
      </c>
    </row>
    <row r="169" spans="1:8" x14ac:dyDescent="0.55000000000000004">
      <c r="A169" t="s">
        <v>6745</v>
      </c>
      <c r="B169" s="7" t="str">
        <f>HYPERLINK("[#]Feature_Schema_1!A22113:F22113","ELECTRIC_POWER_STATION_P")</f>
        <v>ELECTRIC_POWER_STATION_P</v>
      </c>
      <c r="C169" t="s">
        <v>108</v>
      </c>
      <c r="D169" t="s">
        <v>110</v>
      </c>
      <c r="E169">
        <v>0</v>
      </c>
      <c r="F169" t="s">
        <v>111</v>
      </c>
      <c r="G169" t="s">
        <v>112</v>
      </c>
      <c r="H169" t="s">
        <v>109</v>
      </c>
    </row>
    <row r="170" spans="1:8" x14ac:dyDescent="0.55000000000000004">
      <c r="A170" t="s">
        <v>6746</v>
      </c>
      <c r="B170" s="7" t="str">
        <f>HYPERLINK("[#]Feature_Schema_1!A22244:F22244","ELECTRIC_POWER_STATION_S")</f>
        <v>ELECTRIC_POWER_STATION_S</v>
      </c>
      <c r="C170" t="s">
        <v>108</v>
      </c>
      <c r="D170" t="s">
        <v>110</v>
      </c>
      <c r="E170">
        <v>0</v>
      </c>
      <c r="F170" t="s">
        <v>111</v>
      </c>
      <c r="G170" t="s">
        <v>112</v>
      </c>
      <c r="H170" t="s">
        <v>109</v>
      </c>
    </row>
    <row r="171" spans="1:8" x14ac:dyDescent="0.55000000000000004">
      <c r="A171" t="s">
        <v>6804</v>
      </c>
      <c r="B171" s="7" t="str">
        <f>HYPERLINK("[#]Feature_Schema_1!A22375:F22375","ELEVATION_CONTOUR_C")</f>
        <v>ELEVATION_CONTOUR_C</v>
      </c>
      <c r="C171" t="s">
        <v>6453</v>
      </c>
      <c r="D171" t="s">
        <v>2826</v>
      </c>
      <c r="E171">
        <v>0</v>
      </c>
      <c r="F171" t="s">
        <v>2827</v>
      </c>
      <c r="G171" t="s">
        <v>2828</v>
      </c>
      <c r="H171" t="s">
        <v>2829</v>
      </c>
    </row>
    <row r="172" spans="1:8" x14ac:dyDescent="0.55000000000000004">
      <c r="A172" t="s">
        <v>6796</v>
      </c>
      <c r="B172" s="7" t="str">
        <f>HYPERLINK("[#]Feature_Schema_1!A22438:F22438","EMBANKMENT_C")</f>
        <v>EMBANKMENT_C</v>
      </c>
      <c r="C172" t="s">
        <v>6454</v>
      </c>
      <c r="D172" t="s">
        <v>2934</v>
      </c>
      <c r="E172">
        <v>0</v>
      </c>
      <c r="F172" t="s">
        <v>2935</v>
      </c>
      <c r="G172" t="s">
        <v>2936</v>
      </c>
      <c r="H172" t="s">
        <v>2937</v>
      </c>
    </row>
    <row r="173" spans="1:8" x14ac:dyDescent="0.55000000000000004">
      <c r="A173" t="s">
        <v>6770</v>
      </c>
      <c r="B173" s="7" t="str">
        <f>HYPERLINK("[#]Feature_Schema_1!A22598:F22598","EMBANKMENT_S")</f>
        <v>EMBANKMENT_S</v>
      </c>
      <c r="C173" t="s">
        <v>6454</v>
      </c>
      <c r="D173" t="s">
        <v>2934</v>
      </c>
      <c r="E173">
        <v>0</v>
      </c>
      <c r="F173" t="s">
        <v>2935</v>
      </c>
      <c r="G173" t="s">
        <v>2936</v>
      </c>
      <c r="H173" t="s">
        <v>2937</v>
      </c>
    </row>
    <row r="174" spans="1:8" x14ac:dyDescent="0.55000000000000004">
      <c r="A174" t="s">
        <v>6771</v>
      </c>
      <c r="B174" s="7" t="str">
        <f>HYPERLINK("[#]Feature_Schema_1!A22758:F22758","ENGINE_TEST_CELL_P")</f>
        <v>ENGINE_TEST_CELL_P</v>
      </c>
      <c r="C174" t="s">
        <v>6455</v>
      </c>
      <c r="D174" t="s">
        <v>201</v>
      </c>
      <c r="E174">
        <v>0</v>
      </c>
      <c r="F174" t="s">
        <v>202</v>
      </c>
      <c r="G174" t="s">
        <v>203</v>
      </c>
      <c r="H174" t="s">
        <v>204</v>
      </c>
    </row>
    <row r="175" spans="1:8" x14ac:dyDescent="0.55000000000000004">
      <c r="A175" t="s">
        <v>6772</v>
      </c>
      <c r="B175" s="7" t="str">
        <f>HYPERLINK("[#]Feature_Schema_1!A22839:F22839","ENGINE_TEST_CELL_S")</f>
        <v>ENGINE_TEST_CELL_S</v>
      </c>
      <c r="C175" t="s">
        <v>6455</v>
      </c>
    </row>
    <row r="176" spans="1:8" x14ac:dyDescent="0.55000000000000004">
      <c r="A176" t="s">
        <v>6800</v>
      </c>
      <c r="B176" s="7" t="str">
        <f>HYPERLINK("[#]Feature_Schema_1!A22920:F22920","ENGINEERED_EARTHWORK_C")</f>
        <v>ENGINEERED_EARTHWORK_C</v>
      </c>
      <c r="C176" t="s">
        <v>6456</v>
      </c>
    </row>
    <row r="177" spans="1:8" x14ac:dyDescent="0.55000000000000004">
      <c r="A177" t="s">
        <v>6789</v>
      </c>
      <c r="B177" s="7" t="str">
        <f>HYPERLINK("[#]Feature_Schema_1!A23018:F23018","ENGINEERED_EARTHWORK_S")</f>
        <v>ENGINEERED_EARTHWORK_S</v>
      </c>
      <c r="C177" t="s">
        <v>6456</v>
      </c>
    </row>
    <row r="178" spans="1:8" x14ac:dyDescent="0.55000000000000004">
      <c r="A178" t="s">
        <v>6783</v>
      </c>
      <c r="B178" s="7" t="str">
        <f>HYPERLINK("[#]Feature_Schema_1!A23116:F23116","ENGINEERED_TURNAROUND_SITE_P")</f>
        <v>ENGINEERED_TURNAROUND_SITE_P</v>
      </c>
      <c r="C178" t="s">
        <v>6457</v>
      </c>
    </row>
    <row r="179" spans="1:8" x14ac:dyDescent="0.55000000000000004">
      <c r="A179" s="9" t="s">
        <v>6805</v>
      </c>
      <c r="B179" s="8" t="str">
        <f>HYPERLINK("[#]Feature_Schema_1!A23191:F23191","ENTITY_COLLECTION_METADATA_S")</f>
        <v>ENTITY_COLLECTION_METADATA_S</v>
      </c>
      <c r="C179" s="9" t="s">
        <v>6458</v>
      </c>
    </row>
    <row r="180" spans="1:8" x14ac:dyDescent="0.55000000000000004">
      <c r="A180" s="9"/>
      <c r="B180" s="8" t="str">
        <f>HYPERLINK("[#]Feature_Schema_1!A23217:F23217","ENTITY_COLLECTION_METADATA_T")</f>
        <v>ENTITY_COLLECTION_METADATA_T</v>
      </c>
      <c r="C180" s="9" t="s">
        <v>6458</v>
      </c>
    </row>
    <row r="181" spans="1:8" x14ac:dyDescent="0.55000000000000004">
      <c r="A181" t="s">
        <v>6796</v>
      </c>
      <c r="B181" s="7" t="str">
        <f>HYPERLINK("[#]Feature_Schema_1!A23243:F23243","ESKER_C")</f>
        <v>ESKER_C</v>
      </c>
      <c r="C181" t="s">
        <v>6459</v>
      </c>
      <c r="D181" t="s">
        <v>2938</v>
      </c>
      <c r="E181">
        <v>0</v>
      </c>
      <c r="F181" t="s">
        <v>2939</v>
      </c>
      <c r="G181" t="s">
        <v>2940</v>
      </c>
      <c r="H181" t="s">
        <v>2941</v>
      </c>
    </row>
    <row r="182" spans="1:8" x14ac:dyDescent="0.55000000000000004">
      <c r="A182" t="s">
        <v>6794</v>
      </c>
      <c r="B182" s="7" t="str">
        <f>HYPERLINK("[#]Feature_Schema_1!A23284:F23284","EXCAVATING_MACHINE_C")</f>
        <v>EXCAVATING_MACHINE_C</v>
      </c>
      <c r="C182" t="s">
        <v>6460</v>
      </c>
      <c r="D182" t="s">
        <v>197</v>
      </c>
      <c r="E182">
        <v>0</v>
      </c>
      <c r="F182" t="s">
        <v>198</v>
      </c>
      <c r="G182" t="s">
        <v>199</v>
      </c>
      <c r="H182" t="s">
        <v>200</v>
      </c>
    </row>
    <row r="183" spans="1:8" x14ac:dyDescent="0.55000000000000004">
      <c r="A183" t="s">
        <v>6780</v>
      </c>
      <c r="B183" s="7" t="str">
        <f>HYPERLINK("[#]Feature_Schema_1!A23353:F23353","EXCAVATING_MACHINE_P")</f>
        <v>EXCAVATING_MACHINE_P</v>
      </c>
      <c r="C183" t="s">
        <v>6460</v>
      </c>
    </row>
    <row r="184" spans="1:8" x14ac:dyDescent="0.55000000000000004">
      <c r="A184" t="s">
        <v>6780</v>
      </c>
      <c r="B184" s="7" t="str">
        <f>HYPERLINK("[#]Feature_Schema_1!A23422:F23422","EXTRACTION_MINE_P")</f>
        <v>EXTRACTION_MINE_P</v>
      </c>
      <c r="C184" t="s">
        <v>6461</v>
      </c>
      <c r="D184" t="s">
        <v>5</v>
      </c>
      <c r="E184">
        <v>0</v>
      </c>
      <c r="F184" t="s">
        <v>6</v>
      </c>
      <c r="G184" t="s">
        <v>7</v>
      </c>
      <c r="H184" t="s">
        <v>8</v>
      </c>
    </row>
    <row r="185" spans="1:8" x14ac:dyDescent="0.55000000000000004">
      <c r="A185" t="s">
        <v>6744</v>
      </c>
      <c r="B185" s="7" t="str">
        <f>HYPERLINK("[#]Feature_Schema_1!A23670:F23670","EXTRACTION_MINE_S")</f>
        <v>EXTRACTION_MINE_S</v>
      </c>
      <c r="C185" t="s">
        <v>6461</v>
      </c>
      <c r="D185" t="s">
        <v>5</v>
      </c>
      <c r="E185">
        <v>0</v>
      </c>
      <c r="F185" t="s">
        <v>6</v>
      </c>
      <c r="G185" t="s">
        <v>7</v>
      </c>
      <c r="H185" t="s">
        <v>8</v>
      </c>
    </row>
    <row r="186" spans="1:8" x14ac:dyDescent="0.55000000000000004">
      <c r="A186" t="s">
        <v>6806</v>
      </c>
      <c r="B186" s="7" t="str">
        <f>HYPERLINK("[#]Feature_Schema_1!A23918:F23918","FACILITY_P")</f>
        <v>FACILITY_P</v>
      </c>
      <c r="C186" t="s">
        <v>6462</v>
      </c>
      <c r="D186" t="s">
        <v>463</v>
      </c>
      <c r="E186">
        <v>0</v>
      </c>
      <c r="F186" t="s">
        <v>464</v>
      </c>
      <c r="G186" t="s">
        <v>465</v>
      </c>
      <c r="H186" t="s">
        <v>466</v>
      </c>
    </row>
    <row r="187" spans="1:8" x14ac:dyDescent="0.55000000000000004">
      <c r="A187" t="s">
        <v>6807</v>
      </c>
      <c r="B187" s="7" t="str">
        <f>HYPERLINK("[#]Feature_Schema_1!A25527:F25527","FACILITY_S")</f>
        <v>FACILITY_S</v>
      </c>
      <c r="C187" t="s">
        <v>6462</v>
      </c>
      <c r="D187" t="s">
        <v>463</v>
      </c>
      <c r="E187">
        <v>0</v>
      </c>
      <c r="F187" t="s">
        <v>464</v>
      </c>
      <c r="G187" t="s">
        <v>465</v>
      </c>
      <c r="H187" t="s">
        <v>466</v>
      </c>
    </row>
    <row r="188" spans="1:8" x14ac:dyDescent="0.55000000000000004">
      <c r="A188" t="s">
        <v>6751</v>
      </c>
      <c r="B188" s="7" t="str">
        <f>HYPERLINK("[#]Feature_Schema_1!A27136:F27136","FAIRGROUND_S")</f>
        <v>FAIRGROUND_S</v>
      </c>
      <c r="C188" t="s">
        <v>6463</v>
      </c>
      <c r="D188" t="s">
        <v>359</v>
      </c>
      <c r="E188">
        <v>0</v>
      </c>
      <c r="F188" t="s">
        <v>360</v>
      </c>
      <c r="G188" t="s">
        <v>361</v>
      </c>
      <c r="H188" t="s">
        <v>362</v>
      </c>
    </row>
    <row r="189" spans="1:8" x14ac:dyDescent="0.55000000000000004">
      <c r="A189" t="s">
        <v>6784</v>
      </c>
      <c r="B189" s="7" t="str">
        <f>HYPERLINK("[#]Feature_Schema_1!A27275:F27275","FENCE_C")</f>
        <v>FENCE_C</v>
      </c>
      <c r="C189" t="s">
        <v>6464</v>
      </c>
      <c r="D189" t="s">
        <v>923</v>
      </c>
      <c r="E189">
        <v>0</v>
      </c>
      <c r="F189" t="s">
        <v>924</v>
      </c>
      <c r="G189" t="s">
        <v>925</v>
      </c>
      <c r="H189" t="s">
        <v>926</v>
      </c>
    </row>
    <row r="190" spans="1:8" x14ac:dyDescent="0.55000000000000004">
      <c r="A190" t="s">
        <v>6775</v>
      </c>
      <c r="B190" s="7" t="str">
        <f>HYPERLINK("[#]Feature_Schema_1!A27384:F27384","FERRY_CROSSING_C")</f>
        <v>FERRY_CROSSING_C</v>
      </c>
      <c r="C190" t="s">
        <v>6465</v>
      </c>
      <c r="D190" t="s">
        <v>1662</v>
      </c>
      <c r="E190">
        <v>0</v>
      </c>
      <c r="F190" t="s">
        <v>1663</v>
      </c>
      <c r="G190" t="s">
        <v>1664</v>
      </c>
      <c r="H190" t="s">
        <v>1665</v>
      </c>
    </row>
    <row r="191" spans="1:8" x14ac:dyDescent="0.55000000000000004">
      <c r="A191" t="s">
        <v>6808</v>
      </c>
      <c r="B191" s="7" t="str">
        <f>HYPERLINK("[#]Feature_Schema_1!A27507:F27507","FERRY_CROSSING_P")</f>
        <v>FERRY_CROSSING_P</v>
      </c>
      <c r="C191" t="s">
        <v>6465</v>
      </c>
      <c r="D191" t="s">
        <v>1662</v>
      </c>
      <c r="E191">
        <v>0</v>
      </c>
      <c r="F191" t="s">
        <v>1663</v>
      </c>
      <c r="G191" t="s">
        <v>1664</v>
      </c>
      <c r="H191" t="s">
        <v>1665</v>
      </c>
    </row>
    <row r="192" spans="1:8" x14ac:dyDescent="0.55000000000000004">
      <c r="A192" t="s">
        <v>6776</v>
      </c>
      <c r="B192" s="7" t="str">
        <f>HYPERLINK("[#]Feature_Schema_1!A27630:F27630","FERRY_STATION_P")</f>
        <v>FERRY_STATION_P</v>
      </c>
      <c r="C192" t="s">
        <v>6466</v>
      </c>
      <c r="D192" t="s">
        <v>1670</v>
      </c>
      <c r="E192">
        <v>0</v>
      </c>
      <c r="F192" t="s">
        <v>1671</v>
      </c>
      <c r="G192" t="s">
        <v>1672</v>
      </c>
      <c r="H192" t="s">
        <v>1673</v>
      </c>
    </row>
    <row r="193" spans="1:8" x14ac:dyDescent="0.55000000000000004">
      <c r="A193" t="s">
        <v>6809</v>
      </c>
      <c r="B193" s="7" t="str">
        <f>HYPERLINK("[#]Feature_Schema_1!A27851:F27851","FERRY_STATION_S")</f>
        <v>FERRY_STATION_S</v>
      </c>
      <c r="C193" t="s">
        <v>6466</v>
      </c>
      <c r="D193" t="s">
        <v>1670</v>
      </c>
      <c r="E193">
        <v>0</v>
      </c>
      <c r="F193" t="s">
        <v>1671</v>
      </c>
      <c r="G193" t="s">
        <v>1672</v>
      </c>
      <c r="H193" t="s">
        <v>1673</v>
      </c>
    </row>
    <row r="194" spans="1:8" x14ac:dyDescent="0.55000000000000004">
      <c r="A194" t="s">
        <v>6745</v>
      </c>
      <c r="B194" s="7" t="str">
        <f>HYPERLINK("[#]Feature_Schema_1!A28072:F28072","FIRE_HYDRANT_P")</f>
        <v>FIRE_HYDRANT_P</v>
      </c>
      <c r="C194" t="s">
        <v>6467</v>
      </c>
      <c r="D194" t="s">
        <v>864</v>
      </c>
      <c r="E194">
        <v>0</v>
      </c>
      <c r="F194" t="s">
        <v>865</v>
      </c>
      <c r="G194" t="s">
        <v>866</v>
      </c>
      <c r="H194" t="s">
        <v>867</v>
      </c>
    </row>
    <row r="195" spans="1:8" x14ac:dyDescent="0.55000000000000004">
      <c r="A195" t="s">
        <v>6790</v>
      </c>
      <c r="B195" s="7" t="str">
        <f>HYPERLINK("[#]Feature_Schema_1!A28182:F28182","FIRING_RANGE_P")</f>
        <v>FIRING_RANGE_P</v>
      </c>
      <c r="C195" t="s">
        <v>6468</v>
      </c>
      <c r="D195" t="s">
        <v>3449</v>
      </c>
      <c r="E195">
        <v>0</v>
      </c>
      <c r="F195" t="s">
        <v>582</v>
      </c>
      <c r="G195" t="s">
        <v>3450</v>
      </c>
      <c r="H195" t="s">
        <v>3451</v>
      </c>
    </row>
    <row r="196" spans="1:8" x14ac:dyDescent="0.55000000000000004">
      <c r="A196" t="s">
        <v>6789</v>
      </c>
      <c r="B196" s="7" t="str">
        <f>HYPERLINK("[#]Feature_Schema_1!A28307:F28307","FIRING_RANGE_S")</f>
        <v>FIRING_RANGE_S</v>
      </c>
      <c r="C196" t="s">
        <v>6468</v>
      </c>
      <c r="D196" t="s">
        <v>3449</v>
      </c>
      <c r="E196">
        <v>0</v>
      </c>
      <c r="F196" t="s">
        <v>582</v>
      </c>
      <c r="G196" t="s">
        <v>3450</v>
      </c>
      <c r="H196" t="s">
        <v>3451</v>
      </c>
    </row>
    <row r="197" spans="1:8" x14ac:dyDescent="0.55000000000000004">
      <c r="A197" t="s">
        <v>6773</v>
      </c>
      <c r="B197" s="7" t="str">
        <f>HYPERLINK("[#]Feature_Schema_1!A28432:F28432","FISH_FARM_FACILITY_P")</f>
        <v>FISH_FARM_FACILITY_P</v>
      </c>
      <c r="C197" t="s">
        <v>6469</v>
      </c>
      <c r="D197" t="s">
        <v>2528</v>
      </c>
      <c r="E197">
        <v>0</v>
      </c>
      <c r="F197" t="s">
        <v>2529</v>
      </c>
      <c r="G197" t="s">
        <v>2530</v>
      </c>
      <c r="H197" t="s">
        <v>2531</v>
      </c>
    </row>
    <row r="198" spans="1:8" x14ac:dyDescent="0.55000000000000004">
      <c r="A198" t="s">
        <v>6774</v>
      </c>
      <c r="B198" s="7" t="str">
        <f>HYPERLINK("[#]Feature_Schema_1!A28618:F28618","FISH_FARM_FACILITY_S")</f>
        <v>FISH_FARM_FACILITY_S</v>
      </c>
      <c r="C198" t="s">
        <v>6469</v>
      </c>
      <c r="D198" t="s">
        <v>2528</v>
      </c>
      <c r="E198">
        <v>0</v>
      </c>
      <c r="F198" t="s">
        <v>2529</v>
      </c>
      <c r="G198" t="s">
        <v>2530</v>
      </c>
      <c r="H198" t="s">
        <v>2531</v>
      </c>
    </row>
    <row r="199" spans="1:8" x14ac:dyDescent="0.55000000000000004">
      <c r="A199" t="s">
        <v>6763</v>
      </c>
      <c r="B199" s="7" t="str">
        <f>HYPERLINK("[#]Feature_Schema_1!A28804:F28804","FISH_LADDER_C")</f>
        <v>FISH_LADDER_C</v>
      </c>
      <c r="C199" t="s">
        <v>6470</v>
      </c>
      <c r="D199" t="s">
        <v>2754</v>
      </c>
      <c r="E199">
        <v>0</v>
      </c>
      <c r="F199" t="s">
        <v>2755</v>
      </c>
      <c r="G199" t="s">
        <v>2756</v>
      </c>
      <c r="H199" t="s">
        <v>2757</v>
      </c>
    </row>
    <row r="200" spans="1:8" x14ac:dyDescent="0.55000000000000004">
      <c r="A200" t="s">
        <v>6792</v>
      </c>
      <c r="B200" s="7" t="str">
        <f>HYPERLINK("[#]Feature_Schema_1!A28857:F28857","FISH_WEIR_P")</f>
        <v>FISH_WEIR_P</v>
      </c>
      <c r="C200" t="s">
        <v>6471</v>
      </c>
      <c r="D200" t="s">
        <v>2022</v>
      </c>
      <c r="E200">
        <v>0</v>
      </c>
      <c r="F200" t="s">
        <v>2023</v>
      </c>
      <c r="G200" t="s">
        <v>2024</v>
      </c>
      <c r="H200" t="s">
        <v>2025</v>
      </c>
    </row>
    <row r="201" spans="1:8" x14ac:dyDescent="0.55000000000000004">
      <c r="A201" t="s">
        <v>6764</v>
      </c>
      <c r="B201" s="7" t="str">
        <f>HYPERLINK("[#]Feature_Schema_1!A28916:F28916","FISH_WEIR_S")</f>
        <v>FISH_WEIR_S</v>
      </c>
      <c r="C201" t="s">
        <v>6471</v>
      </c>
    </row>
    <row r="202" spans="1:8" x14ac:dyDescent="0.55000000000000004">
      <c r="A202" t="s">
        <v>6801</v>
      </c>
      <c r="B202" s="7" t="str">
        <f>HYPERLINK("[#]Feature_Schema_1!A28975:F28975","FISHING_STAKES_C")</f>
        <v>FISHING_STAKES_C</v>
      </c>
      <c r="C202" t="s">
        <v>6472</v>
      </c>
      <c r="D202" t="s">
        <v>2014</v>
      </c>
      <c r="E202">
        <v>0</v>
      </c>
      <c r="F202" t="s">
        <v>2015</v>
      </c>
      <c r="G202" t="s">
        <v>2016</v>
      </c>
      <c r="H202" t="s">
        <v>2017</v>
      </c>
    </row>
    <row r="203" spans="1:8" x14ac:dyDescent="0.55000000000000004">
      <c r="A203" t="s">
        <v>6771</v>
      </c>
      <c r="B203" s="7" t="str">
        <f>HYPERLINK("[#]Feature_Schema_1!A29021:F29021","FLAGPOLE_P")</f>
        <v>FLAGPOLE_P</v>
      </c>
      <c r="C203" t="s">
        <v>6473</v>
      </c>
      <c r="D203" t="s">
        <v>927</v>
      </c>
      <c r="E203">
        <v>0</v>
      </c>
      <c r="F203" t="s">
        <v>928</v>
      </c>
      <c r="G203" t="s">
        <v>929</v>
      </c>
      <c r="H203" t="s">
        <v>930</v>
      </c>
    </row>
    <row r="204" spans="1:8" x14ac:dyDescent="0.55000000000000004">
      <c r="A204" t="s">
        <v>6780</v>
      </c>
      <c r="B204" s="7" t="str">
        <f>HYPERLINK("[#]Feature_Schema_1!A29071:F29071","FLARE_PIPE_P")</f>
        <v>FLARE_PIPE_P</v>
      </c>
      <c r="C204" t="s">
        <v>6474</v>
      </c>
      <c r="D204" t="s">
        <v>205</v>
      </c>
      <c r="E204">
        <v>0</v>
      </c>
      <c r="F204" t="s">
        <v>206</v>
      </c>
      <c r="G204" t="s">
        <v>207</v>
      </c>
      <c r="H204" t="s">
        <v>208</v>
      </c>
    </row>
    <row r="205" spans="1:8" x14ac:dyDescent="0.55000000000000004">
      <c r="A205" t="s">
        <v>6803</v>
      </c>
      <c r="B205" s="7" t="str">
        <f>HYPERLINK("[#]Feature_Schema_1!A29163:F29163","FLOATING_DRY_DOCK_S")</f>
        <v>FLOATING_DRY_DOCK_S</v>
      </c>
      <c r="C205" t="s">
        <v>6475</v>
      </c>
      <c r="D205" t="s">
        <v>2093</v>
      </c>
      <c r="E205">
        <v>0</v>
      </c>
      <c r="F205" t="s">
        <v>2094</v>
      </c>
      <c r="G205" t="s">
        <v>2095</v>
      </c>
      <c r="H205" t="s">
        <v>2096</v>
      </c>
    </row>
    <row r="206" spans="1:8" x14ac:dyDescent="0.55000000000000004">
      <c r="A206" t="s">
        <v>6763</v>
      </c>
      <c r="B206" s="7" t="str">
        <f>HYPERLINK("[#]Feature_Schema_1!A29241:F29241","FLOOD_CONTROL_STRUCTURE_C")</f>
        <v>FLOOD_CONTROL_STRUCTURE_C</v>
      </c>
      <c r="C206" t="s">
        <v>6476</v>
      </c>
      <c r="D206" t="s">
        <v>2742</v>
      </c>
      <c r="E206">
        <v>0</v>
      </c>
      <c r="F206" t="s">
        <v>2743</v>
      </c>
      <c r="G206" t="s">
        <v>2744</v>
      </c>
      <c r="H206" t="s">
        <v>2745</v>
      </c>
    </row>
    <row r="207" spans="1:8" x14ac:dyDescent="0.55000000000000004">
      <c r="A207" t="s">
        <v>6792</v>
      </c>
      <c r="B207" s="7" t="str">
        <f>HYPERLINK("[#]Feature_Schema_1!A29348:F29348","FLOOD_CONTROL_STRUCTURE_P")</f>
        <v>FLOOD_CONTROL_STRUCTURE_P</v>
      </c>
      <c r="C207" t="s">
        <v>6476</v>
      </c>
      <c r="D207" t="s">
        <v>2742</v>
      </c>
      <c r="E207">
        <v>0</v>
      </c>
      <c r="F207" t="s">
        <v>2743</v>
      </c>
      <c r="G207" t="s">
        <v>2744</v>
      </c>
      <c r="H207" t="s">
        <v>2745</v>
      </c>
    </row>
    <row r="208" spans="1:8" x14ac:dyDescent="0.55000000000000004">
      <c r="A208" t="s">
        <v>6764</v>
      </c>
      <c r="B208" s="7" t="str">
        <f>HYPERLINK("[#]Feature_Schema_1!A29455:F29455","FLOOD_CONTROL_STRUCTURE_S")</f>
        <v>FLOOD_CONTROL_STRUCTURE_S</v>
      </c>
      <c r="C208" t="s">
        <v>6476</v>
      </c>
      <c r="D208" t="s">
        <v>2742</v>
      </c>
      <c r="E208">
        <v>0</v>
      </c>
      <c r="F208" t="s">
        <v>2743</v>
      </c>
      <c r="G208" t="s">
        <v>2744</v>
      </c>
      <c r="H208" t="s">
        <v>2745</v>
      </c>
    </row>
    <row r="209" spans="1:8" x14ac:dyDescent="0.55000000000000004">
      <c r="A209" t="s">
        <v>6766</v>
      </c>
      <c r="B209" s="7" t="str">
        <f>HYPERLINK("[#]Feature_Schema_1!A29562:F29562","FORD_C")</f>
        <v>FORD_C</v>
      </c>
      <c r="C209" t="s">
        <v>6477</v>
      </c>
      <c r="D209" t="s">
        <v>2540</v>
      </c>
      <c r="E209">
        <v>0</v>
      </c>
      <c r="F209" t="s">
        <v>2541</v>
      </c>
      <c r="G209" t="s">
        <v>2542</v>
      </c>
      <c r="H209" t="s">
        <v>2543</v>
      </c>
    </row>
    <row r="210" spans="1:8" x14ac:dyDescent="0.55000000000000004">
      <c r="A210" t="s">
        <v>6783</v>
      </c>
      <c r="B210" s="7" t="str">
        <f>HYPERLINK("[#]Feature_Schema_1!A29703:F29703","FORD_P")</f>
        <v>FORD_P</v>
      </c>
      <c r="C210" t="s">
        <v>6477</v>
      </c>
      <c r="D210" t="s">
        <v>2540</v>
      </c>
      <c r="E210">
        <v>0</v>
      </c>
      <c r="F210" t="s">
        <v>2541</v>
      </c>
      <c r="G210" t="s">
        <v>2542</v>
      </c>
      <c r="H210" t="s">
        <v>2543</v>
      </c>
    </row>
    <row r="211" spans="1:8" x14ac:dyDescent="0.55000000000000004">
      <c r="A211" t="s">
        <v>6767</v>
      </c>
      <c r="B211" s="7" t="str">
        <f>HYPERLINK("[#]Feature_Schema_1!A29844:F29844","FORD_S")</f>
        <v>FORD_S</v>
      </c>
      <c r="C211" t="s">
        <v>6477</v>
      </c>
      <c r="D211" t="s">
        <v>2540</v>
      </c>
      <c r="E211">
        <v>0</v>
      </c>
      <c r="F211" t="s">
        <v>2541</v>
      </c>
      <c r="G211" t="s">
        <v>2542</v>
      </c>
      <c r="H211" t="s">
        <v>2543</v>
      </c>
    </row>
    <row r="212" spans="1:8" x14ac:dyDescent="0.55000000000000004">
      <c r="A212" t="s">
        <v>6778</v>
      </c>
      <c r="B212" s="7" t="str">
        <f>HYPERLINK("[#]Feature_Schema_1!A29985:F29985","FORESHORE_S")</f>
        <v>FORESHORE_S</v>
      </c>
      <c r="C212" t="s">
        <v>6478</v>
      </c>
      <c r="D212" t="s">
        <v>1872</v>
      </c>
      <c r="E212">
        <v>0</v>
      </c>
      <c r="F212" t="s">
        <v>1861</v>
      </c>
      <c r="G212" t="s">
        <v>1873</v>
      </c>
      <c r="H212" t="s">
        <v>1874</v>
      </c>
    </row>
    <row r="213" spans="1:8" x14ac:dyDescent="0.55000000000000004">
      <c r="A213" t="s">
        <v>6793</v>
      </c>
      <c r="B213" s="7" t="str">
        <f>HYPERLINK("[#]Feature_Schema_1!A30308:F30308","FOREST_C")</f>
        <v>FOREST_C</v>
      </c>
      <c r="C213" t="s">
        <v>6479</v>
      </c>
      <c r="D213" t="s">
        <v>3227</v>
      </c>
      <c r="E213">
        <v>0</v>
      </c>
      <c r="F213" t="s">
        <v>3228</v>
      </c>
      <c r="G213" t="s">
        <v>3229</v>
      </c>
      <c r="H213" t="s">
        <v>3230</v>
      </c>
    </row>
    <row r="214" spans="1:8" x14ac:dyDescent="0.55000000000000004">
      <c r="A214" t="s">
        <v>6781</v>
      </c>
      <c r="B214" s="7" t="str">
        <f>HYPERLINK("[#]Feature_Schema_1!A30388:F30388","FOREST_CLEARING_S")</f>
        <v>FOREST_CLEARING_S</v>
      </c>
      <c r="C214" t="s">
        <v>6480</v>
      </c>
      <c r="D214" t="s">
        <v>3335</v>
      </c>
      <c r="E214">
        <v>0</v>
      </c>
      <c r="F214" t="s">
        <v>3336</v>
      </c>
      <c r="G214" t="s">
        <v>3337</v>
      </c>
      <c r="H214" t="s">
        <v>3338</v>
      </c>
    </row>
    <row r="215" spans="1:8" x14ac:dyDescent="0.55000000000000004">
      <c r="A215" t="s">
        <v>6781</v>
      </c>
      <c r="B215" s="7" t="str">
        <f>HYPERLINK("[#]Feature_Schema_1!A30427:F30427","FOREST_S")</f>
        <v>FOREST_S</v>
      </c>
      <c r="C215" t="s">
        <v>6479</v>
      </c>
      <c r="D215" t="s">
        <v>3227</v>
      </c>
      <c r="E215">
        <v>0</v>
      </c>
      <c r="F215" t="s">
        <v>3228</v>
      </c>
      <c r="G215" t="s">
        <v>3229</v>
      </c>
      <c r="H215" t="s">
        <v>3230</v>
      </c>
    </row>
    <row r="216" spans="1:8" x14ac:dyDescent="0.55000000000000004">
      <c r="A216" t="s">
        <v>6790</v>
      </c>
      <c r="B216" s="7" t="str">
        <f>HYPERLINK("[#]Feature_Schema_1!A30507:F30507","FORTIFIED_BUILDING_P")</f>
        <v>FORTIFIED_BUILDING_P</v>
      </c>
      <c r="C216" t="s">
        <v>6481</v>
      </c>
    </row>
    <row r="217" spans="1:8" x14ac:dyDescent="0.55000000000000004">
      <c r="A217" t="s">
        <v>6789</v>
      </c>
      <c r="B217" s="7" t="str">
        <f>HYPERLINK("[#]Feature_Schema_1!A32150:F32150","FORTIFIED_BUILDING_S")</f>
        <v>FORTIFIED_BUILDING_S</v>
      </c>
      <c r="C217" t="s">
        <v>6481</v>
      </c>
    </row>
    <row r="218" spans="1:8" x14ac:dyDescent="0.55000000000000004">
      <c r="A218" t="s">
        <v>6760</v>
      </c>
      <c r="B218" s="7" t="str">
        <f>HYPERLINK("[#]Feature_Schema_1!A33793:F33793","FOUL_GROUND_P")</f>
        <v>FOUL_GROUND_P</v>
      </c>
      <c r="C218" t="s">
        <v>6482</v>
      </c>
      <c r="D218" t="s">
        <v>2267</v>
      </c>
      <c r="E218">
        <v>0</v>
      </c>
      <c r="F218" t="s">
        <v>2268</v>
      </c>
      <c r="G218" t="s">
        <v>2269</v>
      </c>
      <c r="H218" t="s">
        <v>2270</v>
      </c>
    </row>
    <row r="219" spans="1:8" x14ac:dyDescent="0.55000000000000004">
      <c r="A219" t="s">
        <v>6761</v>
      </c>
      <c r="B219" s="7" t="str">
        <f>HYPERLINK("[#]Feature_Schema_1!A33832:F33832","FOUL_GROUND_S")</f>
        <v>FOUL_GROUND_S</v>
      </c>
      <c r="C219" t="s">
        <v>6482</v>
      </c>
      <c r="D219" t="s">
        <v>2267</v>
      </c>
      <c r="E219">
        <v>0</v>
      </c>
      <c r="F219" t="s">
        <v>2268</v>
      </c>
      <c r="G219" t="s">
        <v>2269</v>
      </c>
      <c r="H219" t="s">
        <v>2270</v>
      </c>
    </row>
    <row r="220" spans="1:8" x14ac:dyDescent="0.55000000000000004">
      <c r="A220" t="s">
        <v>6768</v>
      </c>
      <c r="B220" s="7" t="str">
        <f>HYPERLINK("[#]Feature_Schema_1!A33871:F33871","FOUNTAIN_P")</f>
        <v>FOUNTAIN_P</v>
      </c>
      <c r="C220" t="s">
        <v>6483</v>
      </c>
      <c r="D220" t="s">
        <v>2544</v>
      </c>
      <c r="E220">
        <v>0</v>
      </c>
      <c r="F220" t="s">
        <v>2545</v>
      </c>
      <c r="G220" t="s">
        <v>2546</v>
      </c>
      <c r="H220" t="s">
        <v>2547</v>
      </c>
    </row>
    <row r="221" spans="1:8" x14ac:dyDescent="0.55000000000000004">
      <c r="A221" t="s">
        <v>6769</v>
      </c>
      <c r="B221" s="7" t="str">
        <f>HYPERLINK("[#]Feature_Schema_1!A34026:F34026","FOUNTAIN_S")</f>
        <v>FOUNTAIN_S</v>
      </c>
      <c r="C221" t="s">
        <v>6483</v>
      </c>
      <c r="D221" t="s">
        <v>2544</v>
      </c>
      <c r="E221">
        <v>0</v>
      </c>
      <c r="F221" t="s">
        <v>2545</v>
      </c>
      <c r="G221" t="s">
        <v>2546</v>
      </c>
      <c r="H221" t="s">
        <v>2547</v>
      </c>
    </row>
    <row r="222" spans="1:8" x14ac:dyDescent="0.55000000000000004">
      <c r="A222" t="s">
        <v>6810</v>
      </c>
      <c r="B222" s="7" t="str">
        <f>HYPERLINK("[#]Feature_Schema_1!A34181:F34181","FUEL_STORAGE_FACILITY_P")</f>
        <v>FUEL_STORAGE_FACILITY_P</v>
      </c>
      <c r="C222" t="s">
        <v>6484</v>
      </c>
      <c r="D222" t="s">
        <v>1290</v>
      </c>
      <c r="E222">
        <v>0</v>
      </c>
      <c r="F222" t="s">
        <v>1291</v>
      </c>
      <c r="G222" t="s">
        <v>1292</v>
      </c>
      <c r="H222" t="s">
        <v>1293</v>
      </c>
    </row>
    <row r="223" spans="1:8" x14ac:dyDescent="0.55000000000000004">
      <c r="A223" t="s">
        <v>6811</v>
      </c>
      <c r="B223" s="7" t="str">
        <f>HYPERLINK("[#]Feature_Schema_1!A34301:F34301","FUEL_STORAGE_FACILITY_S")</f>
        <v>FUEL_STORAGE_FACILITY_S</v>
      </c>
      <c r="C223" t="s">
        <v>6484</v>
      </c>
      <c r="D223" t="s">
        <v>1290</v>
      </c>
      <c r="E223">
        <v>0</v>
      </c>
      <c r="F223" t="s">
        <v>1291</v>
      </c>
      <c r="G223" t="s">
        <v>1292</v>
      </c>
      <c r="H223" t="s">
        <v>1293</v>
      </c>
    </row>
    <row r="224" spans="1:8" x14ac:dyDescent="0.55000000000000004">
      <c r="A224" t="s">
        <v>6784</v>
      </c>
      <c r="B224" s="7" t="str">
        <f>HYPERLINK("[#]Feature_Schema_1!A34421:F34421","GANTRY_C")</f>
        <v>GANTRY_C</v>
      </c>
      <c r="C224" t="s">
        <v>6485</v>
      </c>
      <c r="D224" t="s">
        <v>935</v>
      </c>
      <c r="E224">
        <v>0</v>
      </c>
      <c r="F224" t="s">
        <v>936</v>
      </c>
      <c r="G224" t="s">
        <v>937</v>
      </c>
      <c r="H224" t="s">
        <v>938</v>
      </c>
    </row>
    <row r="225" spans="1:8" x14ac:dyDescent="0.55000000000000004">
      <c r="A225" t="s">
        <v>6771</v>
      </c>
      <c r="B225" s="7" t="str">
        <f>HYPERLINK("[#]Feature_Schema_1!A34540:F34540","GANTRY_P")</f>
        <v>GANTRY_P</v>
      </c>
      <c r="C225" t="s">
        <v>6485</v>
      </c>
    </row>
    <row r="226" spans="1:8" x14ac:dyDescent="0.55000000000000004">
      <c r="A226" t="s">
        <v>6766</v>
      </c>
      <c r="B226" s="7" t="str">
        <f>HYPERLINK("[#]Feature_Schema_1!A34659:F34659","GATE_C")</f>
        <v>GATE_C</v>
      </c>
      <c r="C226" t="s">
        <v>6486</v>
      </c>
      <c r="D226" t="s">
        <v>1490</v>
      </c>
      <c r="E226">
        <v>0</v>
      </c>
      <c r="F226" t="s">
        <v>1491</v>
      </c>
      <c r="G226" t="s">
        <v>1492</v>
      </c>
      <c r="H226" t="s">
        <v>1493</v>
      </c>
    </row>
    <row r="227" spans="1:8" x14ac:dyDescent="0.55000000000000004">
      <c r="A227" t="s">
        <v>6783</v>
      </c>
      <c r="B227" s="7" t="str">
        <f>HYPERLINK("[#]Feature_Schema_1!A34783:F34783","GATE_P")</f>
        <v>GATE_P</v>
      </c>
      <c r="C227" t="s">
        <v>6486</v>
      </c>
      <c r="D227" t="s">
        <v>1490</v>
      </c>
      <c r="E227">
        <v>0</v>
      </c>
      <c r="F227" t="s">
        <v>1491</v>
      </c>
      <c r="G227" t="s">
        <v>1492</v>
      </c>
      <c r="H227" t="s">
        <v>1493</v>
      </c>
    </row>
    <row r="228" spans="1:8" x14ac:dyDescent="0.55000000000000004">
      <c r="A228" t="s">
        <v>6792</v>
      </c>
      <c r="B228" s="7" t="str">
        <f>HYPERLINK("[#]Feature_Schema_1!A34907:F34907","GAUGING_STATION_P")</f>
        <v>GAUGING_STATION_P</v>
      </c>
      <c r="C228" t="s">
        <v>6487</v>
      </c>
      <c r="D228" t="s">
        <v>2758</v>
      </c>
      <c r="E228">
        <v>0</v>
      </c>
      <c r="F228" t="s">
        <v>2759</v>
      </c>
      <c r="G228" t="s">
        <v>2760</v>
      </c>
      <c r="H228" t="s">
        <v>2761</v>
      </c>
    </row>
    <row r="229" spans="1:8" x14ac:dyDescent="0.55000000000000004">
      <c r="A229" t="s">
        <v>6779</v>
      </c>
      <c r="B229" s="7" t="str">
        <f>HYPERLINK("[#]Feature_Schema_1!A35013:F35013","GEODETIC_POINT_P")</f>
        <v>GEODETIC_POINT_P</v>
      </c>
      <c r="C229" t="s">
        <v>6488</v>
      </c>
      <c r="D229" t="s">
        <v>6028</v>
      </c>
      <c r="E229">
        <v>0</v>
      </c>
      <c r="F229" t="s">
        <v>6029</v>
      </c>
      <c r="G229" t="s">
        <v>6030</v>
      </c>
      <c r="H229" t="s">
        <v>6031</v>
      </c>
    </row>
    <row r="230" spans="1:8" x14ac:dyDescent="0.55000000000000004">
      <c r="A230" t="s">
        <v>6796</v>
      </c>
      <c r="B230" s="7" t="str">
        <f>HYPERLINK("[#]Feature_Schema_1!A35054:F35054","GEOLOGIC_FAULT_C")</f>
        <v>GEOLOGIC_FAULT_C</v>
      </c>
      <c r="C230" t="s">
        <v>6489</v>
      </c>
      <c r="D230" t="s">
        <v>2942</v>
      </c>
      <c r="E230">
        <v>0</v>
      </c>
      <c r="F230" t="s">
        <v>2943</v>
      </c>
      <c r="G230" t="s">
        <v>2944</v>
      </c>
      <c r="H230" t="s">
        <v>2945</v>
      </c>
    </row>
    <row r="231" spans="1:8" x14ac:dyDescent="0.55000000000000004">
      <c r="A231" t="s">
        <v>6743</v>
      </c>
      <c r="B231" s="7" t="str">
        <f>HYPERLINK("[#]Feature_Schema_1!A35111:F35111","GEOPOLITICAL_ENTITY_S")</f>
        <v>GEOPOLITICAL_ENTITY_S</v>
      </c>
      <c r="C231" t="s">
        <v>6490</v>
      </c>
      <c r="D231" t="s">
        <v>3425</v>
      </c>
      <c r="E231">
        <v>0</v>
      </c>
      <c r="F231" t="s">
        <v>3426</v>
      </c>
      <c r="G231" t="s">
        <v>3427</v>
      </c>
      <c r="H231" t="s">
        <v>3428</v>
      </c>
    </row>
    <row r="232" spans="1:8" x14ac:dyDescent="0.55000000000000004">
      <c r="A232" t="s">
        <v>6791</v>
      </c>
      <c r="B232" s="7" t="str">
        <f>HYPERLINK("[#]Feature_Schema_1!A35162:F35162","GEOTHERMAL_OUTLET_P")</f>
        <v>GEOTHERMAL_OUTLET_P</v>
      </c>
      <c r="C232" t="s">
        <v>6491</v>
      </c>
      <c r="D232" t="s">
        <v>2946</v>
      </c>
      <c r="E232">
        <v>0</v>
      </c>
      <c r="F232" t="s">
        <v>2947</v>
      </c>
      <c r="G232" t="s">
        <v>2948</v>
      </c>
      <c r="H232" t="s">
        <v>2949</v>
      </c>
    </row>
    <row r="233" spans="1:8" x14ac:dyDescent="0.55000000000000004">
      <c r="A233" t="s">
        <v>6770</v>
      </c>
      <c r="B233" s="7" t="str">
        <f>HYPERLINK("[#]Feature_Schema_1!A35325:F35325","GEOTHERMAL_OUTLET_S")</f>
        <v>GEOTHERMAL_OUTLET_S</v>
      </c>
      <c r="C233" t="s">
        <v>6491</v>
      </c>
      <c r="D233" t="s">
        <v>2946</v>
      </c>
      <c r="E233">
        <v>0</v>
      </c>
      <c r="F233" t="s">
        <v>2947</v>
      </c>
      <c r="G233" t="s">
        <v>2948</v>
      </c>
      <c r="H233" t="s">
        <v>2949</v>
      </c>
    </row>
    <row r="234" spans="1:8" x14ac:dyDescent="0.55000000000000004">
      <c r="A234" t="s">
        <v>6770</v>
      </c>
      <c r="B234" s="7" t="str">
        <f>HYPERLINK("[#]Feature_Schema_1!A35488:F35488","GLACIER_S")</f>
        <v>GLACIER_S</v>
      </c>
      <c r="C234" t="s">
        <v>6492</v>
      </c>
      <c r="D234" t="s">
        <v>2770</v>
      </c>
      <c r="E234">
        <v>0</v>
      </c>
      <c r="F234" t="s">
        <v>2771</v>
      </c>
      <c r="G234" t="s">
        <v>2772</v>
      </c>
      <c r="H234" t="s">
        <v>2773</v>
      </c>
    </row>
    <row r="235" spans="1:8" x14ac:dyDescent="0.55000000000000004">
      <c r="A235" t="s">
        <v>6751</v>
      </c>
      <c r="B235" s="7" t="str">
        <f>HYPERLINK("[#]Feature_Schema_1!A35526:F35526","GOLF_COURSE_S")</f>
        <v>GOLF_COURSE_S</v>
      </c>
      <c r="C235" t="s">
        <v>6493</v>
      </c>
      <c r="D235" t="s">
        <v>367</v>
      </c>
      <c r="E235">
        <v>0</v>
      </c>
      <c r="F235" t="s">
        <v>368</v>
      </c>
      <c r="G235" t="s">
        <v>369</v>
      </c>
      <c r="H235" t="s">
        <v>370</v>
      </c>
    </row>
    <row r="236" spans="1:8" x14ac:dyDescent="0.55000000000000004">
      <c r="A236" t="s">
        <v>6751</v>
      </c>
      <c r="B236" s="7" t="str">
        <f>HYPERLINK("[#]Feature_Schema_1!A35591:F35591","GOLF_DRIVING_RANGE_S")</f>
        <v>GOLF_DRIVING_RANGE_S</v>
      </c>
      <c r="C236" t="s">
        <v>6494</v>
      </c>
      <c r="D236" t="s">
        <v>371</v>
      </c>
      <c r="E236">
        <v>0</v>
      </c>
      <c r="F236" t="s">
        <v>372</v>
      </c>
      <c r="G236" t="s">
        <v>373</v>
      </c>
      <c r="H236" t="s">
        <v>374</v>
      </c>
    </row>
    <row r="237" spans="1:8" x14ac:dyDescent="0.55000000000000004">
      <c r="A237" t="s">
        <v>6810</v>
      </c>
      <c r="B237" s="7" t="str">
        <f>HYPERLINK("[#]Feature_Schema_1!A35647:F35647","GRAIN_ELEVATOR_P")</f>
        <v>GRAIN_ELEVATOR_P</v>
      </c>
      <c r="C237" t="s">
        <v>6495</v>
      </c>
      <c r="D237" t="s">
        <v>1198</v>
      </c>
      <c r="E237">
        <v>0</v>
      </c>
      <c r="F237" t="s">
        <v>1199</v>
      </c>
      <c r="G237" t="s">
        <v>1200</v>
      </c>
      <c r="H237" t="s">
        <v>1201</v>
      </c>
    </row>
    <row r="238" spans="1:8" x14ac:dyDescent="0.55000000000000004">
      <c r="A238" t="s">
        <v>6811</v>
      </c>
      <c r="B238" s="7" t="str">
        <f>HYPERLINK("[#]Feature_Schema_1!A35780:F35780","GRAIN_ELEVATOR_S")</f>
        <v>GRAIN_ELEVATOR_S</v>
      </c>
      <c r="C238" t="s">
        <v>6495</v>
      </c>
      <c r="D238" t="s">
        <v>1198</v>
      </c>
      <c r="E238">
        <v>0</v>
      </c>
      <c r="F238" t="s">
        <v>1199</v>
      </c>
      <c r="G238" t="s">
        <v>1200</v>
      </c>
      <c r="H238" t="s">
        <v>1201</v>
      </c>
    </row>
    <row r="239" spans="1:8" x14ac:dyDescent="0.55000000000000004">
      <c r="A239" t="s">
        <v>6773</v>
      </c>
      <c r="B239" s="7" t="str">
        <f>HYPERLINK("[#]Feature_Schema_1!A35913:F35913","GRAIN_STORAGE_STRUCTURE_P")</f>
        <v>GRAIN_STORAGE_STRUCTURE_P</v>
      </c>
      <c r="C239" t="s">
        <v>6496</v>
      </c>
      <c r="D239" t="s">
        <v>1194</v>
      </c>
      <c r="E239">
        <v>0</v>
      </c>
      <c r="F239" t="s">
        <v>1195</v>
      </c>
      <c r="G239" t="s">
        <v>1196</v>
      </c>
      <c r="H239" t="s">
        <v>1197</v>
      </c>
    </row>
    <row r="240" spans="1:8" x14ac:dyDescent="0.55000000000000004">
      <c r="A240" t="s">
        <v>6774</v>
      </c>
      <c r="B240" s="7" t="str">
        <f>HYPERLINK("[#]Feature_Schema_1!A36047:F36047","GRAIN_STORAGE_STRUCTURE_S")</f>
        <v>GRAIN_STORAGE_STRUCTURE_S</v>
      </c>
      <c r="C240" t="s">
        <v>6496</v>
      </c>
      <c r="D240" t="s">
        <v>1194</v>
      </c>
      <c r="E240">
        <v>0</v>
      </c>
      <c r="F240" t="s">
        <v>1195</v>
      </c>
      <c r="G240" t="s">
        <v>1196</v>
      </c>
      <c r="H240" t="s">
        <v>1197</v>
      </c>
    </row>
    <row r="241" spans="1:8" x14ac:dyDescent="0.55000000000000004">
      <c r="A241" t="s">
        <v>6750</v>
      </c>
      <c r="B241" s="7" t="str">
        <f>HYPERLINK("[#]Feature_Schema_1!A36181:F36181","GRANDSTAND_P")</f>
        <v>GRANDSTAND_P</v>
      </c>
      <c r="C241" t="s">
        <v>6497</v>
      </c>
      <c r="D241" t="s">
        <v>375</v>
      </c>
      <c r="E241">
        <v>0</v>
      </c>
      <c r="F241" t="s">
        <v>376</v>
      </c>
      <c r="G241" t="s">
        <v>377</v>
      </c>
      <c r="H241" t="s">
        <v>378</v>
      </c>
    </row>
    <row r="242" spans="1:8" x14ac:dyDescent="0.55000000000000004">
      <c r="A242" t="s">
        <v>6751</v>
      </c>
      <c r="B242" s="7" t="str">
        <f>HYPERLINK("[#]Feature_Schema_1!A36250:F36250","GRANDSTAND_S")</f>
        <v>GRANDSTAND_S</v>
      </c>
      <c r="C242" t="s">
        <v>6497</v>
      </c>
      <c r="D242" t="s">
        <v>375</v>
      </c>
      <c r="E242">
        <v>0</v>
      </c>
      <c r="F242" t="s">
        <v>376</v>
      </c>
      <c r="G242" t="s">
        <v>377</v>
      </c>
      <c r="H242" t="s">
        <v>378</v>
      </c>
    </row>
    <row r="243" spans="1:8" x14ac:dyDescent="0.55000000000000004">
      <c r="A243" t="s">
        <v>6781</v>
      </c>
      <c r="B243" s="7" t="str">
        <f>HYPERLINK("[#]Feature_Schema_1!A36319:F36319","GRASSLAND_S")</f>
        <v>GRASSLAND_S</v>
      </c>
      <c r="C243" t="s">
        <v>6498</v>
      </c>
      <c r="D243" t="s">
        <v>3059</v>
      </c>
      <c r="E243">
        <v>0</v>
      </c>
      <c r="F243" t="s">
        <v>3060</v>
      </c>
      <c r="G243" t="s">
        <v>3061</v>
      </c>
      <c r="H243" t="s">
        <v>3062</v>
      </c>
    </row>
    <row r="244" spans="1:8" x14ac:dyDescent="0.55000000000000004">
      <c r="A244" t="s">
        <v>6773</v>
      </c>
      <c r="B244" s="7" t="str">
        <f>HYPERLINK("[#]Feature_Schema_1!A36382:F36382","GREENHOUSE_P")</f>
        <v>GREENHOUSE_P</v>
      </c>
      <c r="C244" t="s">
        <v>6499</v>
      </c>
      <c r="D244" t="s">
        <v>305</v>
      </c>
      <c r="E244">
        <v>0</v>
      </c>
      <c r="F244" t="s">
        <v>306</v>
      </c>
      <c r="G244" t="s">
        <v>307</v>
      </c>
      <c r="H244" t="s">
        <v>308</v>
      </c>
    </row>
    <row r="245" spans="1:8" x14ac:dyDescent="0.55000000000000004">
      <c r="A245" t="s">
        <v>6774</v>
      </c>
      <c r="B245" s="7" t="str">
        <f>HYPERLINK("[#]Feature_Schema_1!A36514:F36514","GREENHOUSE_S")</f>
        <v>GREENHOUSE_S</v>
      </c>
      <c r="C245" t="s">
        <v>6499</v>
      </c>
      <c r="D245" t="s">
        <v>305</v>
      </c>
      <c r="E245">
        <v>0</v>
      </c>
      <c r="F245" t="s">
        <v>306</v>
      </c>
      <c r="G245" t="s">
        <v>307</v>
      </c>
      <c r="H245" t="s">
        <v>308</v>
      </c>
    </row>
    <row r="246" spans="1:8" x14ac:dyDescent="0.55000000000000004">
      <c r="A246" t="s">
        <v>6812</v>
      </c>
      <c r="B246" s="7" t="str">
        <f>HYPERLINK("[#]Feature_Schema_1!A36646:F36646","GROVE_P")</f>
        <v>GROVE_P</v>
      </c>
      <c r="C246" t="s">
        <v>6500</v>
      </c>
      <c r="D246" t="s">
        <v>3332</v>
      </c>
      <c r="E246">
        <v>0</v>
      </c>
      <c r="F246" t="s">
        <v>3119</v>
      </c>
      <c r="G246" t="s">
        <v>3333</v>
      </c>
      <c r="H246" t="s">
        <v>3334</v>
      </c>
    </row>
    <row r="247" spans="1:8" x14ac:dyDescent="0.55000000000000004">
      <c r="A247" t="s">
        <v>6813</v>
      </c>
      <c r="B247" s="7" t="str">
        <f>HYPERLINK("[#]Feature_Schema_1!A36748:F36748","GROVE_S")</f>
        <v>GROVE_S</v>
      </c>
      <c r="C247" t="s">
        <v>6500</v>
      </c>
      <c r="D247" t="s">
        <v>3332</v>
      </c>
      <c r="E247">
        <v>0</v>
      </c>
      <c r="F247" t="s">
        <v>3119</v>
      </c>
      <c r="G247" t="s">
        <v>3333</v>
      </c>
      <c r="H247" t="s">
        <v>3334</v>
      </c>
    </row>
    <row r="248" spans="1:8" x14ac:dyDescent="0.55000000000000004">
      <c r="A248" t="s">
        <v>6803</v>
      </c>
      <c r="B248" s="7" t="str">
        <f>HYPERLINK("[#]Feature_Schema_1!A36850:F36850","HARBOUR_S")</f>
        <v>HARBOUR_S</v>
      </c>
      <c r="C248" t="s">
        <v>6501</v>
      </c>
      <c r="D248" t="s">
        <v>1907</v>
      </c>
      <c r="E248">
        <v>0</v>
      </c>
      <c r="F248" t="s">
        <v>1906</v>
      </c>
      <c r="G248" t="s">
        <v>1908</v>
      </c>
      <c r="H248" t="s">
        <v>1909</v>
      </c>
    </row>
    <row r="249" spans="1:8" x14ac:dyDescent="0.55000000000000004">
      <c r="A249" t="s">
        <v>6761</v>
      </c>
      <c r="B249" s="7" t="str">
        <f>HYPERLINK("[#]Feature_Schema_1!A36963:F36963","HARBOUR_WATERS_S")</f>
        <v>HARBOUR_WATERS_S</v>
      </c>
      <c r="C249" t="s">
        <v>6502</v>
      </c>
      <c r="D249" t="s">
        <v>1918</v>
      </c>
      <c r="E249">
        <v>0</v>
      </c>
      <c r="F249" t="s">
        <v>1919</v>
      </c>
      <c r="G249" t="s">
        <v>1920</v>
      </c>
      <c r="H249" t="s">
        <v>1921</v>
      </c>
    </row>
    <row r="250" spans="1:8" x14ac:dyDescent="0.55000000000000004">
      <c r="A250" t="s">
        <v>6748</v>
      </c>
      <c r="B250" s="7" t="str">
        <f>HYPERLINK("[#]Feature_Schema_1!A37036:F37036","HARDENED_AIRCRAFT_SHELTER_P")</f>
        <v>HARDENED_AIRCRAFT_SHELTER_P</v>
      </c>
      <c r="C250" t="s">
        <v>6503</v>
      </c>
      <c r="D250" t="s">
        <v>3854</v>
      </c>
      <c r="E250">
        <v>0</v>
      </c>
      <c r="F250" t="s">
        <v>3855</v>
      </c>
      <c r="G250" t="s">
        <v>3856</v>
      </c>
      <c r="H250" t="s">
        <v>3857</v>
      </c>
    </row>
    <row r="251" spans="1:8" x14ac:dyDescent="0.55000000000000004">
      <c r="A251" t="s">
        <v>6749</v>
      </c>
      <c r="B251" s="7" t="str">
        <f>HYPERLINK("[#]Feature_Schema_1!A37201:F37201","HARDENED_AIRCRAFT_SHELTER_S")</f>
        <v>HARDENED_AIRCRAFT_SHELTER_S</v>
      </c>
      <c r="C251" t="s">
        <v>6503</v>
      </c>
      <c r="D251" t="s">
        <v>3854</v>
      </c>
      <c r="E251">
        <v>0</v>
      </c>
      <c r="F251" t="s">
        <v>3855</v>
      </c>
      <c r="G251" t="s">
        <v>3856</v>
      </c>
      <c r="H251" t="s">
        <v>3857</v>
      </c>
    </row>
    <row r="252" spans="1:8" x14ac:dyDescent="0.55000000000000004">
      <c r="A252" t="s">
        <v>6760</v>
      </c>
      <c r="B252" s="7" t="str">
        <f>HYPERLINK("[#]Feature_Schema_1!A37366:F37366","HAZARDOUS_ROCK_P")</f>
        <v>HAZARDOUS_ROCK_P</v>
      </c>
      <c r="C252" t="s">
        <v>6504</v>
      </c>
      <c r="D252" t="s">
        <v>2385</v>
      </c>
      <c r="E252">
        <v>0</v>
      </c>
      <c r="F252" t="s">
        <v>2386</v>
      </c>
      <c r="G252" t="s">
        <v>2387</v>
      </c>
      <c r="H252" t="s">
        <v>2388</v>
      </c>
    </row>
    <row r="253" spans="1:8" x14ac:dyDescent="0.55000000000000004">
      <c r="A253" t="s">
        <v>6745</v>
      </c>
      <c r="B253" s="7" t="str">
        <f>HYPERLINK("[#]Feature_Schema_1!A37492:F37492","HEATING_FACILITY_P")</f>
        <v>HEATING_FACILITY_P</v>
      </c>
      <c r="C253" t="s">
        <v>6505</v>
      </c>
      <c r="D253" t="s">
        <v>157</v>
      </c>
      <c r="E253">
        <v>0</v>
      </c>
      <c r="F253" t="s">
        <v>158</v>
      </c>
      <c r="G253" t="s">
        <v>159</v>
      </c>
      <c r="H253" t="s">
        <v>160</v>
      </c>
    </row>
    <row r="254" spans="1:8" x14ac:dyDescent="0.55000000000000004">
      <c r="A254" t="s">
        <v>6746</v>
      </c>
      <c r="B254" s="7" t="str">
        <f>HYPERLINK("[#]Feature_Schema_1!A37616:F37616","HEATING_FACILITY_S")</f>
        <v>HEATING_FACILITY_S</v>
      </c>
      <c r="C254" t="s">
        <v>6505</v>
      </c>
      <c r="D254" t="s">
        <v>157</v>
      </c>
      <c r="E254">
        <v>0</v>
      </c>
      <c r="F254" t="s">
        <v>158</v>
      </c>
      <c r="G254" t="s">
        <v>159</v>
      </c>
      <c r="H254" t="s">
        <v>160</v>
      </c>
    </row>
    <row r="255" spans="1:8" x14ac:dyDescent="0.55000000000000004">
      <c r="A255" t="s">
        <v>6793</v>
      </c>
      <c r="B255" s="7" t="str">
        <f>HYPERLINK("[#]Feature_Schema_1!A37740:F37740","HEDGEROW_C")</f>
        <v>HEDGEROW_C</v>
      </c>
      <c r="C255" t="s">
        <v>6506</v>
      </c>
      <c r="D255" t="s">
        <v>3031</v>
      </c>
      <c r="E255">
        <v>0</v>
      </c>
      <c r="F255" t="s">
        <v>3032</v>
      </c>
      <c r="G255" t="s">
        <v>3033</v>
      </c>
      <c r="H255" t="s">
        <v>3034</v>
      </c>
    </row>
    <row r="256" spans="1:8" x14ac:dyDescent="0.55000000000000004">
      <c r="A256" t="s">
        <v>6748</v>
      </c>
      <c r="B256" s="7" t="str">
        <f>HYPERLINK("[#]Feature_Schema_1!A37778:F37778","HELIPAD_P")</f>
        <v>HELIPAD_P</v>
      </c>
      <c r="C256" t="s">
        <v>6507</v>
      </c>
      <c r="D256" t="s">
        <v>3762</v>
      </c>
      <c r="E256">
        <v>0</v>
      </c>
      <c r="F256" t="s">
        <v>3763</v>
      </c>
      <c r="G256" t="s">
        <v>3764</v>
      </c>
      <c r="H256" t="s">
        <v>3765</v>
      </c>
    </row>
    <row r="257" spans="1:8" x14ac:dyDescent="0.55000000000000004">
      <c r="A257" t="s">
        <v>6749</v>
      </c>
      <c r="B257" s="7" t="str">
        <f>HYPERLINK("[#]Feature_Schema_1!A37979:F37979","HELIPAD_S")</f>
        <v>HELIPAD_S</v>
      </c>
      <c r="C257" t="s">
        <v>6507</v>
      </c>
      <c r="D257" t="s">
        <v>3762</v>
      </c>
      <c r="E257">
        <v>0</v>
      </c>
      <c r="F257" t="s">
        <v>3763</v>
      </c>
      <c r="G257" t="s">
        <v>3764</v>
      </c>
      <c r="H257" t="s">
        <v>3765</v>
      </c>
    </row>
    <row r="258" spans="1:8" x14ac:dyDescent="0.55000000000000004">
      <c r="A258" t="s">
        <v>6748</v>
      </c>
      <c r="B258" s="7" t="str">
        <f>HYPERLINK("[#]Feature_Schema_1!A38180:F38180","HELIPORT_P")</f>
        <v>HELIPORT_P</v>
      </c>
      <c r="C258" t="s">
        <v>6508</v>
      </c>
      <c r="D258" t="s">
        <v>3766</v>
      </c>
      <c r="E258">
        <v>0</v>
      </c>
      <c r="F258" t="s">
        <v>3767</v>
      </c>
      <c r="G258" t="s">
        <v>3768</v>
      </c>
      <c r="H258" t="s">
        <v>3769</v>
      </c>
    </row>
    <row r="259" spans="1:8" x14ac:dyDescent="0.55000000000000004">
      <c r="A259" t="s">
        <v>6749</v>
      </c>
      <c r="B259" s="7" t="str">
        <f>HYPERLINK("[#]Feature_Schema_1!A38264:F38264","HELIPORT_S")</f>
        <v>HELIPORT_S</v>
      </c>
      <c r="C259" t="s">
        <v>6508</v>
      </c>
      <c r="D259" t="s">
        <v>3766</v>
      </c>
      <c r="E259">
        <v>0</v>
      </c>
      <c r="F259" t="s">
        <v>3767</v>
      </c>
      <c r="G259" t="s">
        <v>3768</v>
      </c>
      <c r="H259" t="s">
        <v>3769</v>
      </c>
    </row>
    <row r="260" spans="1:8" x14ac:dyDescent="0.55000000000000004">
      <c r="A260" t="s">
        <v>6773</v>
      </c>
      <c r="B260" s="7" t="str">
        <f>HYPERLINK("[#]Feature_Schema_1!A38348:F38348","HOLDING_PEN_P")</f>
        <v>HOLDING_PEN_P</v>
      </c>
      <c r="C260" t="s">
        <v>6509</v>
      </c>
      <c r="D260" t="s">
        <v>265</v>
      </c>
      <c r="E260">
        <v>0</v>
      </c>
      <c r="F260" t="s">
        <v>266</v>
      </c>
      <c r="G260" t="s">
        <v>267</v>
      </c>
      <c r="H260" t="s">
        <v>268</v>
      </c>
    </row>
    <row r="261" spans="1:8" x14ac:dyDescent="0.55000000000000004">
      <c r="A261" t="s">
        <v>6774</v>
      </c>
      <c r="B261" s="7" t="str">
        <f>HYPERLINK("[#]Feature_Schema_1!A38406:F38406","HOLDING_PEN_S")</f>
        <v>HOLDING_PEN_S</v>
      </c>
      <c r="C261" t="s">
        <v>6509</v>
      </c>
      <c r="D261" t="s">
        <v>265</v>
      </c>
      <c r="E261">
        <v>0</v>
      </c>
      <c r="F261" t="s">
        <v>266</v>
      </c>
      <c r="G261" t="s">
        <v>267</v>
      </c>
      <c r="H261" t="s">
        <v>268</v>
      </c>
    </row>
    <row r="262" spans="1:8" x14ac:dyDescent="0.55000000000000004">
      <c r="A262" t="s">
        <v>6774</v>
      </c>
      <c r="B262" s="7" t="str">
        <f>HYPERLINK("[#]Feature_Schema_1!A38464:F38464","HOP_FIELD_S")</f>
        <v>HOP_FIELD_S</v>
      </c>
      <c r="C262" t="s">
        <v>6510</v>
      </c>
      <c r="D262" t="s">
        <v>3051</v>
      </c>
      <c r="E262">
        <v>0</v>
      </c>
      <c r="F262" t="s">
        <v>3052</v>
      </c>
      <c r="G262" t="s">
        <v>3053</v>
      </c>
      <c r="H262" t="s">
        <v>3054</v>
      </c>
    </row>
    <row r="263" spans="1:8" x14ac:dyDescent="0.55000000000000004">
      <c r="A263" t="s">
        <v>6780</v>
      </c>
      <c r="B263" s="7" t="str">
        <f>HYPERLINK("[#]Feature_Schema_1!A38548:F38548","HOPPER_P")</f>
        <v>HOPPER_P</v>
      </c>
      <c r="C263" t="s">
        <v>6511</v>
      </c>
      <c r="D263" t="s">
        <v>209</v>
      </c>
      <c r="E263">
        <v>0</v>
      </c>
      <c r="F263" t="s">
        <v>210</v>
      </c>
      <c r="G263" t="s">
        <v>211</v>
      </c>
      <c r="H263" t="s">
        <v>212</v>
      </c>
    </row>
    <row r="264" spans="1:8" x14ac:dyDescent="0.55000000000000004">
      <c r="A264" t="s">
        <v>6792</v>
      </c>
      <c r="B264" s="7" t="str">
        <f>HYPERLINK("[#]Feature_Schema_1!A38617:F38617","HULK_P")</f>
        <v>HULK_P</v>
      </c>
      <c r="C264" t="s">
        <v>6512</v>
      </c>
      <c r="D264" t="s">
        <v>2397</v>
      </c>
      <c r="E264">
        <v>0</v>
      </c>
      <c r="F264" t="s">
        <v>2398</v>
      </c>
      <c r="G264" t="s">
        <v>2399</v>
      </c>
      <c r="H264" t="s">
        <v>2400</v>
      </c>
    </row>
    <row r="265" spans="1:8" x14ac:dyDescent="0.55000000000000004">
      <c r="A265" t="s">
        <v>6781</v>
      </c>
      <c r="B265" s="7" t="str">
        <f>HYPERLINK("[#]Feature_Schema_1!A38684:F38684","HUMMOCK_S")</f>
        <v>HUMMOCK_S</v>
      </c>
      <c r="C265" t="s">
        <v>6513</v>
      </c>
      <c r="D265" t="s">
        <v>2548</v>
      </c>
      <c r="E265">
        <v>0</v>
      </c>
      <c r="F265" t="s">
        <v>2549</v>
      </c>
      <c r="G265" t="s">
        <v>2550</v>
      </c>
      <c r="H265" t="s">
        <v>2551</v>
      </c>
    </row>
    <row r="266" spans="1:8" x14ac:dyDescent="0.55000000000000004">
      <c r="A266" t="s">
        <v>6771</v>
      </c>
      <c r="B266" s="7" t="str">
        <f>HYPERLINK("[#]Feature_Schema_1!A38718:F38718","HUT_P")</f>
        <v>HUT_P</v>
      </c>
      <c r="C266" t="s">
        <v>6514</v>
      </c>
      <c r="D266" t="s">
        <v>947</v>
      </c>
      <c r="E266">
        <v>0</v>
      </c>
      <c r="F266" t="s">
        <v>948</v>
      </c>
      <c r="G266" t="s">
        <v>949</v>
      </c>
      <c r="H266" t="s">
        <v>950</v>
      </c>
    </row>
    <row r="267" spans="1:8" x14ac:dyDescent="0.55000000000000004">
      <c r="A267" t="s">
        <v>6772</v>
      </c>
      <c r="B267" s="7" t="str">
        <f>HYPERLINK("[#]Feature_Schema_1!A38833:F38833","HUT_S")</f>
        <v>HUT_S</v>
      </c>
      <c r="C267" t="s">
        <v>6514</v>
      </c>
    </row>
    <row r="268" spans="1:8" x14ac:dyDescent="0.55000000000000004">
      <c r="A268" t="s">
        <v>6780</v>
      </c>
      <c r="B268" s="7" t="str">
        <f>HYPERLINK("[#]Feature_Schema_1!A38948:F38948","HYDROCARBON_PROD_FACILITY_P")</f>
        <v>HYDROCARBON_PROD_FACILITY_P</v>
      </c>
      <c r="C268" t="s">
        <v>6515</v>
      </c>
      <c r="D268" t="s">
        <v>88</v>
      </c>
      <c r="E268">
        <v>0</v>
      </c>
      <c r="F268" t="s">
        <v>89</v>
      </c>
      <c r="G268" t="s">
        <v>90</v>
      </c>
      <c r="H268" t="s">
        <v>91</v>
      </c>
    </row>
    <row r="269" spans="1:8" x14ac:dyDescent="0.55000000000000004">
      <c r="A269" t="s">
        <v>6744</v>
      </c>
      <c r="B269" s="7" t="str">
        <f>HYPERLINK("[#]Feature_Schema_1!A39087:F39087","HYDROCARBON_PROD_FACILITY_S")</f>
        <v>HYDROCARBON_PROD_FACILITY_S</v>
      </c>
      <c r="C269" t="s">
        <v>6515</v>
      </c>
      <c r="D269" t="s">
        <v>88</v>
      </c>
      <c r="E269">
        <v>0</v>
      </c>
      <c r="F269" t="s">
        <v>89</v>
      </c>
      <c r="G269" t="s">
        <v>90</v>
      </c>
      <c r="H269" t="s">
        <v>91</v>
      </c>
    </row>
    <row r="270" spans="1:8" x14ac:dyDescent="0.55000000000000004">
      <c r="A270" t="s">
        <v>6814</v>
      </c>
      <c r="B270" s="7" t="str">
        <f>HYPERLINK("[#]Feature_Schema_1!A39226:F39226","HYDROCARBONS_FIELD_P")</f>
        <v>HYDROCARBONS_FIELD_P</v>
      </c>
      <c r="C270" t="s">
        <v>6516</v>
      </c>
      <c r="D270" t="s">
        <v>33</v>
      </c>
      <c r="E270">
        <v>0</v>
      </c>
      <c r="F270" t="s">
        <v>34</v>
      </c>
      <c r="G270" t="s">
        <v>35</v>
      </c>
      <c r="H270" t="s">
        <v>36</v>
      </c>
    </row>
    <row r="271" spans="1:8" x14ac:dyDescent="0.55000000000000004">
      <c r="A271" t="s">
        <v>6744</v>
      </c>
      <c r="B271" s="7" t="str">
        <f>HYPERLINK("[#]Feature_Schema_1!A39278:F39278","HYDROCARBONS_FIELD_S")</f>
        <v>HYDROCARBONS_FIELD_S</v>
      </c>
      <c r="C271" t="s">
        <v>6516</v>
      </c>
      <c r="D271" t="s">
        <v>33</v>
      </c>
      <c r="E271">
        <v>0</v>
      </c>
      <c r="F271" t="s">
        <v>34</v>
      </c>
      <c r="G271" t="s">
        <v>35</v>
      </c>
      <c r="H271" t="s">
        <v>36</v>
      </c>
    </row>
    <row r="272" spans="1:8" x14ac:dyDescent="0.55000000000000004">
      <c r="A272" t="s">
        <v>6770</v>
      </c>
      <c r="B272" s="7" t="str">
        <f>HYPERLINK("[#]Feature_Schema_1!A39330:F39330","ICE_CAP_S")</f>
        <v>ICE_CAP_S</v>
      </c>
      <c r="C272" t="s">
        <v>6517</v>
      </c>
      <c r="D272" t="s">
        <v>2798</v>
      </c>
      <c r="E272">
        <v>0</v>
      </c>
      <c r="F272" t="s">
        <v>2799</v>
      </c>
      <c r="G272" t="s">
        <v>2800</v>
      </c>
      <c r="H272" t="s">
        <v>2801</v>
      </c>
    </row>
    <row r="273" spans="1:8" x14ac:dyDescent="0.55000000000000004">
      <c r="A273" t="s">
        <v>6796</v>
      </c>
      <c r="B273" s="7" t="str">
        <f>HYPERLINK("[#]Feature_Schema_1!A39384:F39384","ICE_CLIFF_C")</f>
        <v>ICE_CLIFF_C</v>
      </c>
      <c r="C273" t="s">
        <v>6518</v>
      </c>
      <c r="D273" t="s">
        <v>2778</v>
      </c>
      <c r="E273">
        <v>0</v>
      </c>
      <c r="F273" t="s">
        <v>2779</v>
      </c>
      <c r="G273" t="s">
        <v>2780</v>
      </c>
      <c r="H273" t="s">
        <v>2781</v>
      </c>
    </row>
    <row r="274" spans="1:8" x14ac:dyDescent="0.55000000000000004">
      <c r="A274" t="s">
        <v>6791</v>
      </c>
      <c r="B274" s="7" t="str">
        <f>HYPERLINK("[#]Feature_Schema_1!A39422:F39422","ICE_PEAK_P")</f>
        <v>ICE_PEAK_P</v>
      </c>
      <c r="C274" t="s">
        <v>6519</v>
      </c>
      <c r="D274" t="s">
        <v>2782</v>
      </c>
      <c r="E274">
        <v>0</v>
      </c>
      <c r="F274" t="s">
        <v>2783</v>
      </c>
      <c r="G274" t="s">
        <v>2784</v>
      </c>
      <c r="H274" t="s">
        <v>2785</v>
      </c>
    </row>
    <row r="275" spans="1:8" x14ac:dyDescent="0.55000000000000004">
      <c r="A275" t="s">
        <v>6766</v>
      </c>
      <c r="B275" s="7" t="str">
        <f>HYPERLINK("[#]Feature_Schema_1!A39488:F39488","ICE_ROUTE_C")</f>
        <v>ICE_ROUTE_C</v>
      </c>
      <c r="C275" t="s">
        <v>6520</v>
      </c>
      <c r="D275" t="s">
        <v>1666</v>
      </c>
      <c r="E275">
        <v>0</v>
      </c>
      <c r="F275" t="s">
        <v>1667</v>
      </c>
      <c r="G275" t="s">
        <v>1668</v>
      </c>
      <c r="H275" t="s">
        <v>1669</v>
      </c>
    </row>
    <row r="276" spans="1:8" x14ac:dyDescent="0.55000000000000004">
      <c r="A276" t="s">
        <v>6770</v>
      </c>
      <c r="B276" s="7" t="str">
        <f>HYPERLINK("[#]Feature_Schema_1!A39570:F39570","ICE_SHELF_S")</f>
        <v>ICE_SHELF_S</v>
      </c>
      <c r="C276" t="s">
        <v>6521</v>
      </c>
      <c r="D276" t="s">
        <v>2786</v>
      </c>
      <c r="E276">
        <v>0</v>
      </c>
      <c r="F276" t="s">
        <v>2787</v>
      </c>
      <c r="G276" t="s">
        <v>2788</v>
      </c>
      <c r="H276" t="s">
        <v>2789</v>
      </c>
    </row>
    <row r="277" spans="1:8" x14ac:dyDescent="0.55000000000000004">
      <c r="A277" t="s">
        <v>6773</v>
      </c>
      <c r="B277" s="7" t="str">
        <f>HYPERLINK("[#]Feature_Schema_1!A39607:F39607","INDUSTRIAL_FARM_P")</f>
        <v>INDUSTRIAL_FARM_P</v>
      </c>
      <c r="C277" t="s">
        <v>6522</v>
      </c>
      <c r="D277" t="s">
        <v>1163</v>
      </c>
      <c r="E277">
        <v>0</v>
      </c>
      <c r="F277" t="s">
        <v>1164</v>
      </c>
      <c r="G277" t="s">
        <v>1165</v>
      </c>
      <c r="H277" t="s">
        <v>1166</v>
      </c>
    </row>
    <row r="278" spans="1:8" x14ac:dyDescent="0.55000000000000004">
      <c r="A278" t="s">
        <v>6774</v>
      </c>
      <c r="B278" s="7" t="str">
        <f>HYPERLINK("[#]Feature_Schema_1!A39916:F39916","INDUSTRIAL_FARM_S")</f>
        <v>INDUSTRIAL_FARM_S</v>
      </c>
      <c r="C278" t="s">
        <v>6522</v>
      </c>
      <c r="D278" t="s">
        <v>1163</v>
      </c>
      <c r="E278">
        <v>0</v>
      </c>
      <c r="F278" t="s">
        <v>1164</v>
      </c>
      <c r="G278" t="s">
        <v>1165</v>
      </c>
      <c r="H278" t="s">
        <v>1166</v>
      </c>
    </row>
    <row r="279" spans="1:8" x14ac:dyDescent="0.55000000000000004">
      <c r="A279" t="s">
        <v>6780</v>
      </c>
      <c r="B279" s="7" t="str">
        <f>HYPERLINK("[#]Feature_Schema_1!A40225:F40225","INDUSTRIAL_FURNACE_P")</f>
        <v>INDUSTRIAL_FURNACE_P</v>
      </c>
      <c r="C279" t="s">
        <v>6523</v>
      </c>
      <c r="D279" t="s">
        <v>96</v>
      </c>
      <c r="E279">
        <v>0</v>
      </c>
      <c r="F279" t="s">
        <v>97</v>
      </c>
      <c r="G279" t="s">
        <v>98</v>
      </c>
      <c r="H279" t="s">
        <v>99</v>
      </c>
    </row>
    <row r="280" spans="1:8" x14ac:dyDescent="0.55000000000000004">
      <c r="A280" t="s">
        <v>6744</v>
      </c>
      <c r="B280" s="7" t="str">
        <f>HYPERLINK("[#]Feature_Schema_1!A40318:F40318","INDUSTRIAL_FURNACE_S")</f>
        <v>INDUSTRIAL_FURNACE_S</v>
      </c>
      <c r="C280" t="s">
        <v>6523</v>
      </c>
      <c r="D280" t="s">
        <v>96</v>
      </c>
      <c r="E280">
        <v>0</v>
      </c>
      <c r="F280" t="s">
        <v>97</v>
      </c>
      <c r="G280" t="s">
        <v>98</v>
      </c>
      <c r="H280" t="s">
        <v>99</v>
      </c>
    </row>
    <row r="281" spans="1:8" x14ac:dyDescent="0.55000000000000004">
      <c r="A281" t="s">
        <v>6762</v>
      </c>
      <c r="B281" s="7" t="str">
        <f>HYPERLINK("[#]Feature_Schema_1!A40411:F40411","INLAND_WATERBODY_AON_S")</f>
        <v>INLAND_WATERBODY_AON_S</v>
      </c>
      <c r="C281" t="s">
        <v>6524</v>
      </c>
    </row>
    <row r="282" spans="1:8" x14ac:dyDescent="0.55000000000000004">
      <c r="A282" t="s">
        <v>6792</v>
      </c>
      <c r="B282" s="7" t="str">
        <f>HYPERLINK("[#]Feature_Schema_1!A40686:F40686","INLAND_WATERBODY_P")</f>
        <v>INLAND_WATERBODY_P</v>
      </c>
      <c r="C282" t="s">
        <v>6525</v>
      </c>
      <c r="D282" t="s">
        <v>2560</v>
      </c>
      <c r="E282">
        <v>0</v>
      </c>
      <c r="F282" t="s">
        <v>2561</v>
      </c>
      <c r="G282" t="s">
        <v>2562</v>
      </c>
      <c r="H282" t="s">
        <v>2563</v>
      </c>
    </row>
    <row r="283" spans="1:8" x14ac:dyDescent="0.55000000000000004">
      <c r="A283" t="s">
        <v>6764</v>
      </c>
      <c r="B283" s="7" t="str">
        <f>HYPERLINK("[#]Feature_Schema_1!A40996:F40996","INLAND_WATERBODY_S")</f>
        <v>INLAND_WATERBODY_S</v>
      </c>
      <c r="C283" t="s">
        <v>6525</v>
      </c>
      <c r="D283" t="s">
        <v>2560</v>
      </c>
      <c r="E283">
        <v>0</v>
      </c>
      <c r="F283" t="s">
        <v>2561</v>
      </c>
      <c r="G283" t="s">
        <v>2562</v>
      </c>
      <c r="H283" t="s">
        <v>2563</v>
      </c>
    </row>
    <row r="284" spans="1:8" x14ac:dyDescent="0.55000000000000004">
      <c r="A284" t="s">
        <v>6800</v>
      </c>
      <c r="B284" s="7" t="str">
        <f>HYPERLINK("[#]Feature_Schema_1!A41306:F41306","INSTALLATION_BOUNDARY_C")</f>
        <v>INSTALLATION_BOUNDARY_C</v>
      </c>
      <c r="C284" t="s">
        <v>6526</v>
      </c>
    </row>
    <row r="285" spans="1:8" x14ac:dyDescent="0.55000000000000004">
      <c r="A285" t="s">
        <v>6806</v>
      </c>
      <c r="B285" s="7" t="str">
        <f>HYPERLINK("[#]Feature_Schema_1!A41342:F41342","INSTALLATION_P")</f>
        <v>INSTALLATION_P</v>
      </c>
      <c r="C285" t="s">
        <v>6527</v>
      </c>
      <c r="D285" t="s">
        <v>467</v>
      </c>
      <c r="E285">
        <v>0</v>
      </c>
      <c r="F285" t="s">
        <v>468</v>
      </c>
      <c r="G285" t="s">
        <v>469</v>
      </c>
      <c r="H285" t="s">
        <v>470</v>
      </c>
    </row>
    <row r="286" spans="1:8" x14ac:dyDescent="0.55000000000000004">
      <c r="A286" t="s">
        <v>6807</v>
      </c>
      <c r="B286" s="7" t="str">
        <f>HYPERLINK("[#]Feature_Schema_1!A41408:F41408","INSTALLATION_S")</f>
        <v>INSTALLATION_S</v>
      </c>
      <c r="C286" t="s">
        <v>6527</v>
      </c>
      <c r="D286" t="s">
        <v>467</v>
      </c>
      <c r="E286">
        <v>0</v>
      </c>
      <c r="F286" t="s">
        <v>468</v>
      </c>
      <c r="G286" t="s">
        <v>469</v>
      </c>
      <c r="H286" t="s">
        <v>470</v>
      </c>
    </row>
    <row r="287" spans="1:8" x14ac:dyDescent="0.55000000000000004">
      <c r="A287" t="s">
        <v>6787</v>
      </c>
      <c r="B287" s="7" t="str">
        <f>HYPERLINK("[#]Feature_Schema_1!A41474:F41474","INSUBSTANTIAL_NAV_MARK_P")</f>
        <v>INSUBSTANTIAL_NAV_MARK_P</v>
      </c>
      <c r="C287" t="s">
        <v>6528</v>
      </c>
      <c r="D287" t="s">
        <v>2198</v>
      </c>
      <c r="E287">
        <v>0</v>
      </c>
      <c r="F287" t="s">
        <v>2199</v>
      </c>
      <c r="G287" t="s">
        <v>2200</v>
      </c>
      <c r="H287" t="s">
        <v>2201</v>
      </c>
    </row>
    <row r="288" spans="1:8" x14ac:dyDescent="0.55000000000000004">
      <c r="A288" t="s">
        <v>6768</v>
      </c>
      <c r="B288" s="7" t="str">
        <f>HYPERLINK("[#]Feature_Schema_1!A41790:F41790","INTEREST_SITE_P")</f>
        <v>INTEREST_SITE_P</v>
      </c>
      <c r="C288" t="s">
        <v>6529</v>
      </c>
      <c r="D288" t="s">
        <v>1074</v>
      </c>
      <c r="E288">
        <v>0</v>
      </c>
      <c r="F288" t="s">
        <v>1075</v>
      </c>
      <c r="G288" t="s">
        <v>1076</v>
      </c>
      <c r="H288" t="s">
        <v>1077</v>
      </c>
    </row>
    <row r="289" spans="1:8" x14ac:dyDescent="0.55000000000000004">
      <c r="A289" t="s">
        <v>6769</v>
      </c>
      <c r="B289" s="7" t="str">
        <f>HYPERLINK("[#]Feature_Schema_1!A41899:F41899","INTEREST_SITE_S")</f>
        <v>INTEREST_SITE_S</v>
      </c>
      <c r="C289" t="s">
        <v>6529</v>
      </c>
      <c r="D289" t="s">
        <v>1074</v>
      </c>
      <c r="E289">
        <v>0</v>
      </c>
      <c r="F289" t="s">
        <v>1075</v>
      </c>
      <c r="G289" t="s">
        <v>1076</v>
      </c>
      <c r="H289" t="s">
        <v>1077</v>
      </c>
    </row>
    <row r="290" spans="1:8" x14ac:dyDescent="0.55000000000000004">
      <c r="A290" t="s">
        <v>6742</v>
      </c>
      <c r="B290" s="7" t="str">
        <f>HYPERLINK("[#]Feature_Schema_1!A42008:F42008","INTERNATIONAL_DATE_LINE_C")</f>
        <v>INTERNATIONAL_DATE_LINE_C</v>
      </c>
      <c r="C290" t="s">
        <v>6530</v>
      </c>
      <c r="D290" t="s">
        <v>3508</v>
      </c>
      <c r="E290">
        <v>0</v>
      </c>
      <c r="F290" t="s">
        <v>3509</v>
      </c>
      <c r="G290" t="s">
        <v>3510</v>
      </c>
      <c r="H290" t="s">
        <v>3511</v>
      </c>
    </row>
    <row r="291" spans="1:8" x14ac:dyDescent="0.55000000000000004">
      <c r="A291" t="s">
        <v>6791</v>
      </c>
      <c r="B291" s="7" t="str">
        <f>HYPERLINK("[#]Feature_Schema_1!A42038:F42038","ISLAND_P")</f>
        <v>ISLAND_P</v>
      </c>
      <c r="C291" t="s">
        <v>6531</v>
      </c>
      <c r="D291" t="s">
        <v>1883</v>
      </c>
      <c r="E291">
        <v>0</v>
      </c>
      <c r="F291" t="s">
        <v>1884</v>
      </c>
      <c r="G291" t="s">
        <v>1885</v>
      </c>
      <c r="H291" t="s">
        <v>1886</v>
      </c>
    </row>
    <row r="292" spans="1:8" x14ac:dyDescent="0.55000000000000004">
      <c r="A292" t="s">
        <v>6770</v>
      </c>
      <c r="B292" s="7" t="str">
        <f>HYPERLINK("[#]Feature_Schema_1!A42113:F42113","ISLAND_S")</f>
        <v>ISLAND_S</v>
      </c>
      <c r="C292" t="s">
        <v>6531</v>
      </c>
      <c r="D292" t="s">
        <v>1883</v>
      </c>
      <c r="E292">
        <v>0</v>
      </c>
      <c r="F292" t="s">
        <v>1884</v>
      </c>
      <c r="G292" t="s">
        <v>1885</v>
      </c>
      <c r="H292" t="s">
        <v>1886</v>
      </c>
    </row>
    <row r="293" spans="1:8" x14ac:dyDescent="0.55000000000000004">
      <c r="A293" t="s">
        <v>6761</v>
      </c>
      <c r="B293" s="7" t="str">
        <f>HYPERLINK("[#]Feature_Schema_1!A42188:F42188","LAGOON_S")</f>
        <v>LAGOON_S</v>
      </c>
      <c r="C293" t="s">
        <v>6532</v>
      </c>
      <c r="D293" t="s">
        <v>2651</v>
      </c>
      <c r="E293">
        <v>0</v>
      </c>
      <c r="F293" t="s">
        <v>2652</v>
      </c>
      <c r="G293" t="s">
        <v>2653</v>
      </c>
      <c r="H293" t="s">
        <v>2654</v>
      </c>
    </row>
    <row r="294" spans="1:8" x14ac:dyDescent="0.55000000000000004">
      <c r="A294" t="s">
        <v>6748</v>
      </c>
      <c r="B294" s="7" t="str">
        <f>HYPERLINK("[#]Feature_Schema_1!A42323:F42323","LAND_AERODROME_P")</f>
        <v>LAND_AERODROME_P</v>
      </c>
      <c r="C294" t="s">
        <v>6533</v>
      </c>
      <c r="D294" t="s">
        <v>3735</v>
      </c>
      <c r="E294">
        <v>0</v>
      </c>
      <c r="F294" t="s">
        <v>1846</v>
      </c>
      <c r="G294" t="s">
        <v>3736</v>
      </c>
      <c r="H294" t="s">
        <v>3737</v>
      </c>
    </row>
    <row r="295" spans="1:8" x14ac:dyDescent="0.55000000000000004">
      <c r="A295" t="s">
        <v>6749</v>
      </c>
      <c r="B295" s="7" t="str">
        <f>HYPERLINK("[#]Feature_Schema_1!A42450:F42450","LAND_AERODROME_S")</f>
        <v>LAND_AERODROME_S</v>
      </c>
      <c r="C295" t="s">
        <v>6533</v>
      </c>
      <c r="D295" t="s">
        <v>3735</v>
      </c>
      <c r="E295">
        <v>0</v>
      </c>
      <c r="F295" t="s">
        <v>1846</v>
      </c>
      <c r="G295" t="s">
        <v>3736</v>
      </c>
      <c r="H295" t="s">
        <v>3737</v>
      </c>
    </row>
    <row r="296" spans="1:8" x14ac:dyDescent="0.55000000000000004">
      <c r="A296" t="s">
        <v>6815</v>
      </c>
      <c r="B296" s="7" t="str">
        <f>HYPERLINK("[#]Feature_Schema_1!A42577:F42577","LAND_PARCEL_S")</f>
        <v>LAND_PARCEL_S</v>
      </c>
      <c r="C296" t="s">
        <v>6534</v>
      </c>
      <c r="D296" t="s">
        <v>4118</v>
      </c>
      <c r="E296">
        <v>0</v>
      </c>
      <c r="F296" t="s">
        <v>4119</v>
      </c>
      <c r="G296" t="s">
        <v>4120</v>
      </c>
      <c r="H296" t="s">
        <v>4121</v>
      </c>
    </row>
    <row r="297" spans="1:8" x14ac:dyDescent="0.55000000000000004">
      <c r="A297" t="s">
        <v>6764</v>
      </c>
      <c r="B297" s="7" t="str">
        <f>HYPERLINK("[#]Feature_Schema_1!A42625:F42625","LAND_SUBJECT_TO_INUNDATION_S")</f>
        <v>LAND_SUBJECT_TO_INUNDATION_S</v>
      </c>
      <c r="C297" t="s">
        <v>6535</v>
      </c>
      <c r="D297" t="s">
        <v>2564</v>
      </c>
      <c r="E297">
        <v>0</v>
      </c>
      <c r="F297" t="s">
        <v>2565</v>
      </c>
      <c r="G297" t="s">
        <v>2566</v>
      </c>
      <c r="H297" t="s">
        <v>2567</v>
      </c>
    </row>
    <row r="298" spans="1:8" x14ac:dyDescent="0.55000000000000004">
      <c r="A298" t="s">
        <v>6796</v>
      </c>
      <c r="B298" s="7" t="str">
        <f>HYPERLINK("[#]Feature_Schema_1!A42672:F42672","LAND_WATER_BOUNDARY_C")</f>
        <v>LAND_WATER_BOUNDARY_C</v>
      </c>
      <c r="C298" t="s">
        <v>6536</v>
      </c>
      <c r="D298" t="s">
        <v>1852</v>
      </c>
      <c r="E298">
        <v>0</v>
      </c>
      <c r="F298" t="s">
        <v>1853</v>
      </c>
      <c r="G298" t="s">
        <v>1854</v>
      </c>
      <c r="H298" t="s">
        <v>1855</v>
      </c>
    </row>
    <row r="299" spans="1:8" x14ac:dyDescent="0.55000000000000004">
      <c r="A299" t="s">
        <v>6747</v>
      </c>
      <c r="B299" s="7" t="str">
        <f>HYPERLINK("[#]Feature_Schema_1!A42751:F42751","LANDING_ZONE_P")</f>
        <v>LANDING_ZONE_P</v>
      </c>
      <c r="C299" t="s">
        <v>6537</v>
      </c>
    </row>
    <row r="300" spans="1:8" x14ac:dyDescent="0.55000000000000004">
      <c r="A300" t="s">
        <v>6816</v>
      </c>
      <c r="B300" s="7" t="str">
        <f>HYPERLINK("[#]Feature_Schema_1!A42781:F42781","LANDING_ZONE_S")</f>
        <v>LANDING_ZONE_S</v>
      </c>
      <c r="C300" t="s">
        <v>6537</v>
      </c>
    </row>
    <row r="301" spans="1:8" x14ac:dyDescent="0.55000000000000004">
      <c r="A301" t="s">
        <v>6770</v>
      </c>
      <c r="B301" s="7" t="str">
        <f>HYPERLINK("[#]Feature_Schema_1!A42811:F42811","LANDSLIDE_MASS_S")</f>
        <v>LANDSLIDE_MASS_S</v>
      </c>
      <c r="C301" t="s">
        <v>6538</v>
      </c>
      <c r="D301" t="s">
        <v>2998</v>
      </c>
      <c r="E301">
        <v>0</v>
      </c>
      <c r="F301" t="s">
        <v>2999</v>
      </c>
      <c r="G301" t="s">
        <v>3000</v>
      </c>
      <c r="H301" t="s">
        <v>3001</v>
      </c>
    </row>
    <row r="302" spans="1:8" x14ac:dyDescent="0.55000000000000004">
      <c r="A302" t="s">
        <v>6748</v>
      </c>
      <c r="B302" s="7" t="str">
        <f>HYPERLINK("[#]Feature_Schema_1!A42848:F42848","LAUNCH_PAD_P")</f>
        <v>LAUNCH_PAD_P</v>
      </c>
      <c r="C302" t="s">
        <v>6539</v>
      </c>
      <c r="D302" t="s">
        <v>3770</v>
      </c>
      <c r="E302">
        <v>0</v>
      </c>
      <c r="F302" t="s">
        <v>3771</v>
      </c>
      <c r="G302" t="s">
        <v>3772</v>
      </c>
      <c r="H302" t="s">
        <v>3773</v>
      </c>
    </row>
    <row r="303" spans="1:8" x14ac:dyDescent="0.55000000000000004">
      <c r="A303" t="s">
        <v>6749</v>
      </c>
      <c r="B303" s="7" t="str">
        <f>HYPERLINK("[#]Feature_Schema_1!A42932:F42932","LAUNCH_PAD_S")</f>
        <v>LAUNCH_PAD_S</v>
      </c>
      <c r="C303" t="s">
        <v>6539</v>
      </c>
      <c r="D303" t="s">
        <v>3770</v>
      </c>
      <c r="E303">
        <v>0</v>
      </c>
      <c r="F303" t="s">
        <v>3771</v>
      </c>
      <c r="G303" t="s">
        <v>3772</v>
      </c>
      <c r="H303" t="s">
        <v>3773</v>
      </c>
    </row>
    <row r="304" spans="1:8" x14ac:dyDescent="0.55000000000000004">
      <c r="A304" t="s">
        <v>6787</v>
      </c>
      <c r="B304" s="7" t="str">
        <f>HYPERLINK("[#]Feature_Schema_1!A43016:F43016","LIGHT_SECTOR_P")</f>
        <v>LIGHT_SECTOR_P</v>
      </c>
      <c r="C304" t="s">
        <v>6540</v>
      </c>
      <c r="D304" t="s">
        <v>2190</v>
      </c>
      <c r="E304">
        <v>0</v>
      </c>
      <c r="F304" t="s">
        <v>2191</v>
      </c>
      <c r="G304" t="s">
        <v>2192</v>
      </c>
      <c r="H304" t="s">
        <v>2193</v>
      </c>
    </row>
    <row r="305" spans="1:8" x14ac:dyDescent="0.55000000000000004">
      <c r="A305" t="s">
        <v>6771</v>
      </c>
      <c r="B305" s="7" t="str">
        <f>HYPERLINK("[#]Feature_Schema_1!A43059:F43059","LIGHT_SUPPORT_STRUCTURE_P")</f>
        <v>LIGHT_SUPPORT_STRUCTURE_P</v>
      </c>
      <c r="C305" t="s">
        <v>6541</v>
      </c>
      <c r="D305" t="s">
        <v>962</v>
      </c>
      <c r="E305">
        <v>0</v>
      </c>
      <c r="F305" t="s">
        <v>963</v>
      </c>
      <c r="G305" t="s">
        <v>964</v>
      </c>
      <c r="H305" t="s">
        <v>965</v>
      </c>
    </row>
    <row r="306" spans="1:8" x14ac:dyDescent="0.55000000000000004">
      <c r="A306" t="s">
        <v>6817</v>
      </c>
      <c r="B306" s="7" t="str">
        <f>HYPERLINK("[#]Feature_Schema_1!A43166:F43166","LIGHT_VESSEL_P")</f>
        <v>LIGHT_VESSEL_P</v>
      </c>
      <c r="C306" t="s">
        <v>6542</v>
      </c>
      <c r="D306" t="s">
        <v>2194</v>
      </c>
      <c r="E306">
        <v>0</v>
      </c>
      <c r="F306" t="s">
        <v>2195</v>
      </c>
      <c r="G306" t="s">
        <v>2196</v>
      </c>
      <c r="H306" t="s">
        <v>2197</v>
      </c>
    </row>
    <row r="307" spans="1:8" x14ac:dyDescent="0.55000000000000004">
      <c r="A307" t="s">
        <v>6817</v>
      </c>
      <c r="B307" s="7" t="str">
        <f>HYPERLINK("[#]Feature_Schema_1!A43296:F43296","LIGHTHOUSE_P")</f>
        <v>LIGHTHOUSE_P</v>
      </c>
      <c r="C307" t="s">
        <v>6543</v>
      </c>
      <c r="D307" t="s">
        <v>2183</v>
      </c>
      <c r="E307">
        <v>0</v>
      </c>
      <c r="F307" t="s">
        <v>694</v>
      </c>
      <c r="G307" t="s">
        <v>2184</v>
      </c>
      <c r="H307" t="s">
        <v>2185</v>
      </c>
    </row>
    <row r="308" spans="1:8" x14ac:dyDescent="0.55000000000000004">
      <c r="A308" t="s">
        <v>6818</v>
      </c>
      <c r="B308" s="7" t="str">
        <f>HYPERLINK("[#]Feature_Schema_1!A43472:F43472","LIGHTHOUSE_S")</f>
        <v>LIGHTHOUSE_S</v>
      </c>
      <c r="C308" t="s">
        <v>6543</v>
      </c>
      <c r="D308" t="s">
        <v>2183</v>
      </c>
      <c r="E308">
        <v>0</v>
      </c>
      <c r="F308" t="s">
        <v>694</v>
      </c>
      <c r="G308" t="s">
        <v>2184</v>
      </c>
      <c r="H308" t="s">
        <v>2185</v>
      </c>
    </row>
    <row r="309" spans="1:8" x14ac:dyDescent="0.55000000000000004">
      <c r="A309" t="s">
        <v>6745</v>
      </c>
      <c r="B309" s="7" t="str">
        <f>HYPERLINK("[#]Feature_Schema_1!A43648:F43648","LIQUID_DIFFUSER_P")</f>
        <v>LIQUID_DIFFUSER_P</v>
      </c>
      <c r="C309" t="s">
        <v>6544</v>
      </c>
      <c r="D309" t="s">
        <v>56</v>
      </c>
      <c r="E309">
        <v>0</v>
      </c>
      <c r="F309" t="s">
        <v>57</v>
      </c>
      <c r="G309" t="s">
        <v>58</v>
      </c>
      <c r="H309" t="s">
        <v>59</v>
      </c>
    </row>
    <row r="310" spans="1:8" x14ac:dyDescent="0.55000000000000004">
      <c r="A310" t="s">
        <v>6819</v>
      </c>
      <c r="B310" s="7" t="str">
        <f>HYPERLINK("[#]Feature_Schema_1!A43703:F43703","LOCAL_MAGNETIC_ANOMALY_S")</f>
        <v>LOCAL_MAGNETIC_ANOMALY_S</v>
      </c>
      <c r="C310" t="s">
        <v>6545</v>
      </c>
      <c r="D310" t="s">
        <v>6032</v>
      </c>
      <c r="E310">
        <v>0</v>
      </c>
      <c r="F310" t="s">
        <v>6033</v>
      </c>
      <c r="G310" t="s">
        <v>6034</v>
      </c>
      <c r="H310" t="s">
        <v>6035</v>
      </c>
    </row>
    <row r="311" spans="1:8" x14ac:dyDescent="0.55000000000000004">
      <c r="A311" t="s">
        <v>6775</v>
      </c>
      <c r="B311" s="7" t="str">
        <f>HYPERLINK("[#]Feature_Schema_1!A43737:F43737","LOCK_C")</f>
        <v>LOCK_C</v>
      </c>
      <c r="C311" t="s">
        <v>6546</v>
      </c>
      <c r="D311" t="s">
        <v>2707</v>
      </c>
      <c r="E311">
        <v>0</v>
      </c>
      <c r="F311" t="s">
        <v>2708</v>
      </c>
      <c r="G311" t="s">
        <v>2709</v>
      </c>
      <c r="H311" t="s">
        <v>2710</v>
      </c>
    </row>
    <row r="312" spans="1:8" x14ac:dyDescent="0.55000000000000004">
      <c r="A312" t="s">
        <v>6776</v>
      </c>
      <c r="B312" s="7" t="str">
        <f>HYPERLINK("[#]Feature_Schema_1!A43847:F43847","LOCK_P")</f>
        <v>LOCK_P</v>
      </c>
      <c r="C312" t="s">
        <v>6546</v>
      </c>
      <c r="D312" t="s">
        <v>2707</v>
      </c>
      <c r="E312">
        <v>0</v>
      </c>
      <c r="F312" t="s">
        <v>2708</v>
      </c>
      <c r="G312" t="s">
        <v>2709</v>
      </c>
      <c r="H312" t="s">
        <v>2710</v>
      </c>
    </row>
    <row r="313" spans="1:8" x14ac:dyDescent="0.55000000000000004">
      <c r="A313" t="s">
        <v>6809</v>
      </c>
      <c r="B313" s="7" t="str">
        <f>HYPERLINK("[#]Feature_Schema_1!A43957:F43957","LOCK_S")</f>
        <v>LOCK_S</v>
      </c>
      <c r="C313" t="s">
        <v>6546</v>
      </c>
      <c r="D313" t="s">
        <v>2707</v>
      </c>
      <c r="E313">
        <v>0</v>
      </c>
      <c r="F313" t="s">
        <v>2708</v>
      </c>
      <c r="G313" t="s">
        <v>2709</v>
      </c>
      <c r="H313" t="s">
        <v>2710</v>
      </c>
    </row>
    <row r="314" spans="1:8" x14ac:dyDescent="0.55000000000000004">
      <c r="A314" t="s">
        <v>6781</v>
      </c>
      <c r="B314" s="7" t="str">
        <f>HYPERLINK("[#]Feature_Schema_1!A44067:F44067","LOGGING_SITE_S")</f>
        <v>LOGGING_SITE_S</v>
      </c>
      <c r="C314" t="s">
        <v>6547</v>
      </c>
      <c r="D314" t="s">
        <v>3393</v>
      </c>
      <c r="E314">
        <v>0</v>
      </c>
      <c r="F314" t="s">
        <v>3394</v>
      </c>
      <c r="G314" t="s">
        <v>3395</v>
      </c>
      <c r="H314" t="s">
        <v>3396</v>
      </c>
    </row>
    <row r="315" spans="1:8" x14ac:dyDescent="0.55000000000000004">
      <c r="A315" t="s">
        <v>6768</v>
      </c>
      <c r="B315" s="7" t="str">
        <f>HYPERLINK("[#]Feature_Schema_1!A44105:F44105","LOOKOUT_P")</f>
        <v>LOOKOUT_P</v>
      </c>
      <c r="C315" t="s">
        <v>6548</v>
      </c>
      <c r="D315" t="s">
        <v>383</v>
      </c>
      <c r="E315">
        <v>0</v>
      </c>
      <c r="F315" t="s">
        <v>384</v>
      </c>
      <c r="G315" t="s">
        <v>385</v>
      </c>
      <c r="H315" t="s">
        <v>386</v>
      </c>
    </row>
    <row r="316" spans="1:8" x14ac:dyDescent="0.55000000000000004">
      <c r="A316" t="s">
        <v>6769</v>
      </c>
      <c r="B316" s="7" t="str">
        <f>HYPERLINK("[#]Feature_Schema_1!A44160:F44160","LOOKOUT_S")</f>
        <v>LOOKOUT_S</v>
      </c>
      <c r="C316" t="s">
        <v>6548</v>
      </c>
      <c r="D316" t="s">
        <v>383</v>
      </c>
      <c r="E316">
        <v>0</v>
      </c>
      <c r="F316" t="s">
        <v>384</v>
      </c>
      <c r="G316" t="s">
        <v>385</v>
      </c>
      <c r="H316" t="s">
        <v>386</v>
      </c>
    </row>
    <row r="317" spans="1:8" x14ac:dyDescent="0.55000000000000004">
      <c r="A317" t="s">
        <v>6771</v>
      </c>
      <c r="B317" s="7" t="str">
        <f>HYPERLINK("[#]Feature_Schema_1!A44215:F44215","MANOR_HOUSE_P")</f>
        <v>MANOR_HOUSE_P</v>
      </c>
      <c r="C317" t="s">
        <v>6549</v>
      </c>
    </row>
    <row r="318" spans="1:8" x14ac:dyDescent="0.55000000000000004">
      <c r="A318" t="s">
        <v>6772</v>
      </c>
      <c r="B318" s="7" t="str">
        <f>HYPERLINK("[#]Feature_Schema_1!A44356:F44356","MANOR_HOUSE_S")</f>
        <v>MANOR_HOUSE_S</v>
      </c>
      <c r="C318" t="s">
        <v>6549</v>
      </c>
    </row>
    <row r="319" spans="1:8" x14ac:dyDescent="0.55000000000000004">
      <c r="A319" t="s">
        <v>6786</v>
      </c>
      <c r="B319" s="7" t="str">
        <f>HYPERLINK("[#]Feature_Schema_1!A44497:F44497","MANUFACTURED_HOME_PARK_S")</f>
        <v>MANUFACTURED_HOME_PARK_S</v>
      </c>
      <c r="C319" t="s">
        <v>6550</v>
      </c>
    </row>
    <row r="320" spans="1:8" x14ac:dyDescent="0.55000000000000004">
      <c r="A320" t="s">
        <v>6761</v>
      </c>
      <c r="B320" s="7" t="str">
        <f>HYPERLINK("[#]Feature_Schema_1!A44603:F44603","MARICULTURE_SITE_S")</f>
        <v>MARICULTURE_SITE_S</v>
      </c>
      <c r="C320" t="s">
        <v>6551</v>
      </c>
      <c r="D320" t="s">
        <v>2524</v>
      </c>
      <c r="E320">
        <v>0</v>
      </c>
      <c r="F320" t="s">
        <v>2525</v>
      </c>
      <c r="G320" t="s">
        <v>2526</v>
      </c>
      <c r="H320" t="s">
        <v>2527</v>
      </c>
    </row>
    <row r="321" spans="1:8" x14ac:dyDescent="0.55000000000000004">
      <c r="A321" t="s">
        <v>6761</v>
      </c>
      <c r="B321" s="7" t="str">
        <f>HYPERLINK("[#]Feature_Schema_1!A44713:F44713","MARITIME_CAUTION_AREA_S")</f>
        <v>MARITIME_CAUTION_AREA_S</v>
      </c>
      <c r="C321" t="s">
        <v>6552</v>
      </c>
      <c r="D321" t="s">
        <v>3559</v>
      </c>
      <c r="E321">
        <v>0</v>
      </c>
      <c r="F321" t="s">
        <v>3560</v>
      </c>
      <c r="G321" t="s">
        <v>3561</v>
      </c>
      <c r="H321" t="s">
        <v>3562</v>
      </c>
    </row>
    <row r="322" spans="1:8" x14ac:dyDescent="0.55000000000000004">
      <c r="A322" t="s">
        <v>6801</v>
      </c>
      <c r="B322" s="7" t="str">
        <f>HYPERLINK("[#]Feature_Schema_1!A45120:F45120","MARITIME_LIMIT_C")</f>
        <v>MARITIME_LIMIT_C</v>
      </c>
      <c r="C322" t="s">
        <v>6553</v>
      </c>
      <c r="D322" t="s">
        <v>3536</v>
      </c>
      <c r="E322">
        <v>0</v>
      </c>
      <c r="F322" t="s">
        <v>3537</v>
      </c>
      <c r="G322" t="s">
        <v>3538</v>
      </c>
      <c r="H322" t="s">
        <v>3539</v>
      </c>
    </row>
    <row r="323" spans="1:8" x14ac:dyDescent="0.55000000000000004">
      <c r="A323" t="s">
        <v>6787</v>
      </c>
      <c r="B323" s="7" t="str">
        <f>HYPERLINK("[#]Feature_Schema_1!A45369:F45369","MARITIME_NAV_LIGHT_SUPPORT_P")</f>
        <v>MARITIME_NAV_LIGHT_SUPPORT_P</v>
      </c>
      <c r="C323" t="s">
        <v>6554</v>
      </c>
    </row>
    <row r="324" spans="1:8" x14ac:dyDescent="0.55000000000000004">
      <c r="A324" t="s">
        <v>6787</v>
      </c>
      <c r="B324" s="7" t="str">
        <f>HYPERLINK("[#]Feature_Schema_1!A45579:F45579","MARITIME_NAVIGATION_BEACON_P")</f>
        <v>MARITIME_NAVIGATION_BEACON_P</v>
      </c>
      <c r="C324" t="s">
        <v>6555</v>
      </c>
      <c r="D324" t="s">
        <v>2143</v>
      </c>
      <c r="E324">
        <v>0</v>
      </c>
      <c r="F324" t="s">
        <v>2144</v>
      </c>
      <c r="G324" t="s">
        <v>2145</v>
      </c>
      <c r="H324" t="s">
        <v>2146</v>
      </c>
    </row>
    <row r="325" spans="1:8" x14ac:dyDescent="0.55000000000000004">
      <c r="A325" t="s">
        <v>6787</v>
      </c>
      <c r="B325" s="7" t="str">
        <f>HYPERLINK("[#]Feature_Schema_1!A45740:F45740","MARITIME_NAVIGATION_LIGHT_P")</f>
        <v>MARITIME_NAVIGATION_LIGHT_P</v>
      </c>
      <c r="C325" t="s">
        <v>6556</v>
      </c>
      <c r="D325" t="s">
        <v>2179</v>
      </c>
      <c r="E325">
        <v>0</v>
      </c>
      <c r="F325" t="s">
        <v>2180</v>
      </c>
      <c r="G325" t="s">
        <v>2181</v>
      </c>
      <c r="H325" t="s">
        <v>2182</v>
      </c>
    </row>
    <row r="326" spans="1:8" x14ac:dyDescent="0.55000000000000004">
      <c r="A326" t="s">
        <v>6787</v>
      </c>
      <c r="B326" s="7" t="str">
        <f>HYPERLINK("[#]Feature_Schema_1!A45956:F45956","MARITIME_NAVIGATION_MARKER_P")</f>
        <v>MARITIME_NAVIGATION_MARKER_P</v>
      </c>
      <c r="C326" t="s">
        <v>6557</v>
      </c>
      <c r="D326" t="s">
        <v>2186</v>
      </c>
      <c r="E326">
        <v>0</v>
      </c>
      <c r="F326" t="s">
        <v>2187</v>
      </c>
      <c r="G326" t="s">
        <v>2188</v>
      </c>
      <c r="H326" t="s">
        <v>2189</v>
      </c>
    </row>
    <row r="327" spans="1:8" x14ac:dyDescent="0.55000000000000004">
      <c r="A327" t="s">
        <v>6820</v>
      </c>
      <c r="B327" s="7" t="str">
        <f>HYPERLINK("[#]Feature_Schema_1!A46017:F46017","MARITIME_RADAR_REF_LINE_C")</f>
        <v>MARITIME_RADAR_REF_LINE_C</v>
      </c>
      <c r="C327" t="s">
        <v>6558</v>
      </c>
      <c r="D327" t="s">
        <v>3611</v>
      </c>
      <c r="E327">
        <v>0</v>
      </c>
      <c r="F327" t="s">
        <v>3612</v>
      </c>
      <c r="G327" t="s">
        <v>3613</v>
      </c>
      <c r="H327" t="s">
        <v>3614</v>
      </c>
    </row>
    <row r="328" spans="1:8" x14ac:dyDescent="0.55000000000000004">
      <c r="A328" t="s">
        <v>6787</v>
      </c>
      <c r="B328" s="7" t="str">
        <f>HYPERLINK("[#]Feature_Schema_1!A46052:F46052","MARITIME_RADIOBEACON_P")</f>
        <v>MARITIME_RADIOBEACON_P</v>
      </c>
      <c r="C328" t="s">
        <v>6559</v>
      </c>
      <c r="D328" t="s">
        <v>2171</v>
      </c>
      <c r="E328">
        <v>0</v>
      </c>
      <c r="F328" t="s">
        <v>2172</v>
      </c>
      <c r="G328" t="s">
        <v>2173</v>
      </c>
      <c r="H328" t="s">
        <v>2174</v>
      </c>
    </row>
    <row r="329" spans="1:8" x14ac:dyDescent="0.55000000000000004">
      <c r="A329" t="s">
        <v>6801</v>
      </c>
      <c r="B329" s="7" t="str">
        <f>HYPERLINK("[#]Feature_Schema_1!A46161:F46161","MARITIME_ROUTE_C")</f>
        <v>MARITIME_ROUTE_C</v>
      </c>
      <c r="C329" t="s">
        <v>6560</v>
      </c>
      <c r="D329" t="s">
        <v>3615</v>
      </c>
      <c r="E329">
        <v>0</v>
      </c>
      <c r="F329" t="s">
        <v>3616</v>
      </c>
      <c r="G329" t="s">
        <v>3617</v>
      </c>
      <c r="H329" t="s">
        <v>3618</v>
      </c>
    </row>
    <row r="330" spans="1:8" x14ac:dyDescent="0.55000000000000004">
      <c r="A330" t="s">
        <v>6761</v>
      </c>
      <c r="B330" s="7" t="str">
        <f>HYPERLINK("[#]Feature_Schema_1!A46376:F46376","MARITIME_ROUTE_S")</f>
        <v>MARITIME_ROUTE_S</v>
      </c>
      <c r="C330" t="s">
        <v>6560</v>
      </c>
      <c r="D330" t="s">
        <v>3615</v>
      </c>
      <c r="E330">
        <v>0</v>
      </c>
      <c r="F330" t="s">
        <v>3616</v>
      </c>
      <c r="G330" t="s">
        <v>3617</v>
      </c>
      <c r="H330" t="s">
        <v>3618</v>
      </c>
    </row>
    <row r="331" spans="1:8" x14ac:dyDescent="0.55000000000000004">
      <c r="A331" t="s">
        <v>6787</v>
      </c>
      <c r="B331" s="7" t="str">
        <f>HYPERLINK("[#]Feature_Schema_1!A46591:F46591","MARITIME_SIGNAL_STATION_P")</f>
        <v>MARITIME_SIGNAL_STATION_P</v>
      </c>
      <c r="C331" t="s">
        <v>6561</v>
      </c>
      <c r="D331" t="s">
        <v>2054</v>
      </c>
      <c r="E331">
        <v>0</v>
      </c>
      <c r="F331" t="s">
        <v>692</v>
      </c>
      <c r="G331" t="s">
        <v>2055</v>
      </c>
      <c r="H331" t="s">
        <v>2056</v>
      </c>
    </row>
    <row r="332" spans="1:8" x14ac:dyDescent="0.55000000000000004">
      <c r="A332" t="s">
        <v>6781</v>
      </c>
      <c r="B332" s="7" t="str">
        <f>HYPERLINK("[#]Feature_Schema_1!A46790:F46790","MARSH_S")</f>
        <v>MARSH_S</v>
      </c>
      <c r="C332" t="s">
        <v>6562</v>
      </c>
      <c r="D332" t="s">
        <v>3344</v>
      </c>
      <c r="E332">
        <v>0</v>
      </c>
      <c r="F332" t="s">
        <v>3345</v>
      </c>
      <c r="G332" t="s">
        <v>3346</v>
      </c>
      <c r="H332" t="s">
        <v>3347</v>
      </c>
    </row>
    <row r="333" spans="1:8" x14ac:dyDescent="0.55000000000000004">
      <c r="A333" t="s">
        <v>6801</v>
      </c>
      <c r="B333" s="7" t="str">
        <f>HYPERLINK("[#]Feature_Schema_1!A46937:F46937","MEASURED_DISTANCE_LINE_C")</f>
        <v>MEASURED_DISTANCE_LINE_C</v>
      </c>
      <c r="C333" t="s">
        <v>6563</v>
      </c>
      <c r="D333" t="s">
        <v>3599</v>
      </c>
      <c r="E333">
        <v>0</v>
      </c>
      <c r="F333" t="s">
        <v>3600</v>
      </c>
      <c r="G333" t="s">
        <v>3601</v>
      </c>
      <c r="H333" t="s">
        <v>3602</v>
      </c>
    </row>
    <row r="334" spans="1:8" x14ac:dyDescent="0.55000000000000004">
      <c r="A334" t="s">
        <v>6821</v>
      </c>
      <c r="B334" s="7" t="str">
        <f>HYPERLINK("[#]Feature_Schema_1!A46973:F46973","MEMORIAL_MONUMENT_C")</f>
        <v>MEMORIAL_MONUMENT_C</v>
      </c>
      <c r="C334" t="s">
        <v>6564</v>
      </c>
      <c r="D334" t="s">
        <v>1026</v>
      </c>
      <c r="E334">
        <v>0</v>
      </c>
      <c r="F334" t="s">
        <v>1027</v>
      </c>
      <c r="G334" t="s">
        <v>1028</v>
      </c>
      <c r="H334" t="s">
        <v>1029</v>
      </c>
    </row>
    <row r="335" spans="1:8" x14ac:dyDescent="0.55000000000000004">
      <c r="A335" t="s">
        <v>6768</v>
      </c>
      <c r="B335" s="7" t="str">
        <f>HYPERLINK("[#]Feature_Schema_1!A47091:F47091","MEMORIAL_MONUMENT_P")</f>
        <v>MEMORIAL_MONUMENT_P</v>
      </c>
      <c r="C335" t="s">
        <v>6564</v>
      </c>
      <c r="D335" t="s">
        <v>1026</v>
      </c>
      <c r="E335">
        <v>0</v>
      </c>
      <c r="F335" t="s">
        <v>1027</v>
      </c>
      <c r="G335" t="s">
        <v>1028</v>
      </c>
      <c r="H335" t="s">
        <v>1029</v>
      </c>
    </row>
    <row r="336" spans="1:8" x14ac:dyDescent="0.55000000000000004">
      <c r="A336" t="s">
        <v>6769</v>
      </c>
      <c r="B336" s="7" t="str">
        <f>HYPERLINK("[#]Feature_Schema_1!A47209:F47209","MEMORIAL_MONUMENT_S")</f>
        <v>MEMORIAL_MONUMENT_S</v>
      </c>
      <c r="C336" t="s">
        <v>6564</v>
      </c>
      <c r="D336" t="s">
        <v>1026</v>
      </c>
      <c r="E336">
        <v>0</v>
      </c>
      <c r="F336" t="s">
        <v>1027</v>
      </c>
      <c r="G336" t="s">
        <v>1028</v>
      </c>
      <c r="H336" t="s">
        <v>1029</v>
      </c>
    </row>
    <row r="337" spans="1:8" x14ac:dyDescent="0.55000000000000004">
      <c r="A337" t="s">
        <v>6822</v>
      </c>
      <c r="B337" s="7" t="str">
        <f>HYPERLINK("[#]Feature_Schema_1!A47327:F47327","MILITARY_BOUNDARY_C")</f>
        <v>MILITARY_BOUNDARY_C</v>
      </c>
      <c r="C337" t="s">
        <v>6565</v>
      </c>
    </row>
    <row r="338" spans="1:8" x14ac:dyDescent="0.55000000000000004">
      <c r="A338" t="s">
        <v>6790</v>
      </c>
      <c r="B338" s="7" t="str">
        <f>HYPERLINK("[#]Feature_Schema_1!A47398:F47398","MILITARY_INSTALLATION_P")</f>
        <v>MILITARY_INSTALLATION_P</v>
      </c>
      <c r="C338" t="s">
        <v>6566</v>
      </c>
      <c r="D338" t="s">
        <v>4333</v>
      </c>
      <c r="E338">
        <v>0</v>
      </c>
      <c r="F338" t="s">
        <v>4334</v>
      </c>
      <c r="G338" t="s">
        <v>4335</v>
      </c>
      <c r="H338" t="s">
        <v>4336</v>
      </c>
    </row>
    <row r="339" spans="1:8" x14ac:dyDescent="0.55000000000000004">
      <c r="A339" t="s">
        <v>6789</v>
      </c>
      <c r="B339" s="7" t="str">
        <f>HYPERLINK("[#]Feature_Schema_1!A47507:F47507","MILITARY_INSTALLATION_S")</f>
        <v>MILITARY_INSTALLATION_S</v>
      </c>
      <c r="C339" t="s">
        <v>6566</v>
      </c>
    </row>
    <row r="340" spans="1:8" x14ac:dyDescent="0.55000000000000004">
      <c r="A340" t="s">
        <v>6780</v>
      </c>
      <c r="B340" s="7" t="str">
        <f>HYPERLINK("[#]Feature_Schema_1!A47616:F47616","MINE_SHAFT_SUPERSTRUCTURE_P")</f>
        <v>MINE_SHAFT_SUPERSTRUCTURE_P</v>
      </c>
      <c r="C340" t="s">
        <v>6567</v>
      </c>
    </row>
    <row r="341" spans="1:8" x14ac:dyDescent="0.55000000000000004">
      <c r="A341" t="s">
        <v>6744</v>
      </c>
      <c r="B341" s="7" t="str">
        <f>HYPERLINK("[#]Feature_Schema_1!A47732:F47732","MINE_SHAFT_SUPERSTRUCTURE_S")</f>
        <v>MINE_SHAFT_SUPERSTRUCTURE_S</v>
      </c>
      <c r="C341" t="s">
        <v>6567</v>
      </c>
    </row>
    <row r="342" spans="1:8" x14ac:dyDescent="0.55000000000000004">
      <c r="A342" t="s">
        <v>6789</v>
      </c>
      <c r="B342" s="7" t="str">
        <f>HYPERLINK("[#]Feature_Schema_1!A47848:F47848","MINEFIELD_S")</f>
        <v>MINEFIELD_S</v>
      </c>
      <c r="C342" t="s">
        <v>6568</v>
      </c>
      <c r="D342" t="s">
        <v>919</v>
      </c>
      <c r="E342">
        <v>0</v>
      </c>
      <c r="F342" t="s">
        <v>920</v>
      </c>
      <c r="G342" t="s">
        <v>921</v>
      </c>
      <c r="H342" t="s">
        <v>922</v>
      </c>
    </row>
    <row r="343" spans="1:8" x14ac:dyDescent="0.55000000000000004">
      <c r="A343" t="s">
        <v>6780</v>
      </c>
      <c r="B343" s="7" t="str">
        <f>HYPERLINK("[#]Feature_Schema_1!A47890:F47890","MINERAL_PILE_P")</f>
        <v>MINERAL_PILE_P</v>
      </c>
      <c r="C343" t="s">
        <v>6569</v>
      </c>
      <c r="D343" t="s">
        <v>1206</v>
      </c>
      <c r="E343">
        <v>0</v>
      </c>
      <c r="F343" t="s">
        <v>1207</v>
      </c>
      <c r="G343" t="s">
        <v>1208</v>
      </c>
      <c r="H343" t="s">
        <v>1209</v>
      </c>
    </row>
    <row r="344" spans="1:8" x14ac:dyDescent="0.55000000000000004">
      <c r="A344" t="s">
        <v>6744</v>
      </c>
      <c r="B344" s="7" t="str">
        <f>HYPERLINK("[#]Feature_Schema_1!A47980:F47980","MINERAL_PILE_S")</f>
        <v>MINERAL_PILE_S</v>
      </c>
      <c r="C344" t="s">
        <v>6569</v>
      </c>
      <c r="D344" t="s">
        <v>1206</v>
      </c>
      <c r="E344">
        <v>0</v>
      </c>
      <c r="F344" t="s">
        <v>1207</v>
      </c>
      <c r="G344" t="s">
        <v>1208</v>
      </c>
      <c r="H344" t="s">
        <v>1209</v>
      </c>
    </row>
    <row r="345" spans="1:8" x14ac:dyDescent="0.55000000000000004">
      <c r="A345" t="s">
        <v>6790</v>
      </c>
      <c r="B345" s="7" t="str">
        <f>HYPERLINK("[#]Feature_Schema_1!A48070:F48070","MISSILE_SITE_P")</f>
        <v>MISSILE_SITE_P</v>
      </c>
      <c r="C345" t="s">
        <v>970</v>
      </c>
      <c r="D345" t="s">
        <v>972</v>
      </c>
      <c r="E345">
        <v>0</v>
      </c>
      <c r="F345" t="s">
        <v>973</v>
      </c>
      <c r="G345" t="s">
        <v>974</v>
      </c>
      <c r="H345" t="s">
        <v>971</v>
      </c>
    </row>
    <row r="346" spans="1:8" x14ac:dyDescent="0.55000000000000004">
      <c r="A346" t="s">
        <v>6789</v>
      </c>
      <c r="B346" s="7" t="str">
        <f>HYPERLINK("[#]Feature_Schema_1!A48274:F48274","MISSILE_SITE_S")</f>
        <v>MISSILE_SITE_S</v>
      </c>
      <c r="C346" t="s">
        <v>970</v>
      </c>
      <c r="D346" t="s">
        <v>972</v>
      </c>
      <c r="E346">
        <v>0</v>
      </c>
      <c r="F346" t="s">
        <v>973</v>
      </c>
      <c r="G346" t="s">
        <v>974</v>
      </c>
      <c r="H346" t="s">
        <v>971</v>
      </c>
    </row>
    <row r="347" spans="1:8" x14ac:dyDescent="0.55000000000000004">
      <c r="A347" t="s">
        <v>6763</v>
      </c>
      <c r="B347" s="7" t="str">
        <f>HYPERLINK("[#]Feature_Schema_1!A48478:F48478","MOAT_C")</f>
        <v>MOAT_C</v>
      </c>
      <c r="C347" t="s">
        <v>6570</v>
      </c>
      <c r="D347" t="s">
        <v>2576</v>
      </c>
      <c r="E347">
        <v>0</v>
      </c>
      <c r="F347" t="s">
        <v>2577</v>
      </c>
      <c r="G347" t="s">
        <v>2578</v>
      </c>
      <c r="H347" t="s">
        <v>2579</v>
      </c>
    </row>
    <row r="348" spans="1:8" x14ac:dyDescent="0.55000000000000004">
      <c r="A348" t="s">
        <v>6764</v>
      </c>
      <c r="B348" s="7" t="str">
        <f>HYPERLINK("[#]Feature_Schema_1!A48569:F48569","MOAT_S")</f>
        <v>MOAT_S</v>
      </c>
      <c r="C348" t="s">
        <v>6570</v>
      </c>
      <c r="D348" t="s">
        <v>2576</v>
      </c>
      <c r="E348">
        <v>0</v>
      </c>
      <c r="F348" t="s">
        <v>2577</v>
      </c>
      <c r="G348" t="s">
        <v>2578</v>
      </c>
      <c r="H348" t="s">
        <v>2579</v>
      </c>
    </row>
    <row r="349" spans="1:8" x14ac:dyDescent="0.55000000000000004">
      <c r="A349" t="s">
        <v>6748</v>
      </c>
      <c r="B349" s="7" t="str">
        <f>HYPERLINK("[#]Feature_Schema_1!A48660:F48660","MOORING_MAST_P")</f>
        <v>MOORING_MAST_P</v>
      </c>
      <c r="C349" t="s">
        <v>6571</v>
      </c>
      <c r="D349" t="s">
        <v>1690</v>
      </c>
      <c r="E349">
        <v>0</v>
      </c>
      <c r="F349" t="s">
        <v>1691</v>
      </c>
      <c r="G349" t="s">
        <v>1692</v>
      </c>
      <c r="H349" t="s">
        <v>1693</v>
      </c>
    </row>
    <row r="350" spans="1:8" x14ac:dyDescent="0.55000000000000004">
      <c r="A350" t="s">
        <v>6770</v>
      </c>
      <c r="B350" s="7" t="str">
        <f>HYPERLINK("[#]Feature_Schema_1!A48747:F48747","MORAINE_S")</f>
        <v>MORAINE_S</v>
      </c>
      <c r="C350" t="s">
        <v>6572</v>
      </c>
      <c r="D350" t="s">
        <v>2766</v>
      </c>
      <c r="E350">
        <v>0</v>
      </c>
      <c r="F350" t="s">
        <v>2767</v>
      </c>
      <c r="G350" t="s">
        <v>2768</v>
      </c>
      <c r="H350" t="s">
        <v>2769</v>
      </c>
    </row>
    <row r="351" spans="1:8" x14ac:dyDescent="0.55000000000000004">
      <c r="A351" t="s">
        <v>6783</v>
      </c>
      <c r="B351" s="7" t="str">
        <f>HYPERLINK("[#]Feature_Schema_1!A48784:F48784","MOTOR_VEHICLE_STATION_P")</f>
        <v>MOTOR_VEHICLE_STATION_P</v>
      </c>
      <c r="C351" t="s">
        <v>6573</v>
      </c>
      <c r="D351" t="s">
        <v>1770</v>
      </c>
      <c r="E351">
        <v>0</v>
      </c>
      <c r="F351" t="s">
        <v>1771</v>
      </c>
      <c r="G351" t="s">
        <v>1772</v>
      </c>
      <c r="H351" t="s">
        <v>1773</v>
      </c>
    </row>
    <row r="352" spans="1:8" x14ac:dyDescent="0.55000000000000004">
      <c r="A352" t="s">
        <v>6767</v>
      </c>
      <c r="B352" s="7" t="str">
        <f>HYPERLINK("[#]Feature_Schema_1!A48914:F48914","MOTOR_VEHICLE_STATION_S")</f>
        <v>MOTOR_VEHICLE_STATION_S</v>
      </c>
      <c r="C352" t="s">
        <v>6573</v>
      </c>
      <c r="D352" t="s">
        <v>1770</v>
      </c>
      <c r="E352">
        <v>0</v>
      </c>
      <c r="F352" t="s">
        <v>1771</v>
      </c>
      <c r="G352" t="s">
        <v>1772</v>
      </c>
      <c r="H352" t="s">
        <v>1773</v>
      </c>
    </row>
    <row r="353" spans="1:8" x14ac:dyDescent="0.55000000000000004">
      <c r="A353" t="s">
        <v>6791</v>
      </c>
      <c r="B353" s="7" t="str">
        <f>HYPERLINK("[#]Feature_Schema_1!A49044:F49044","MOUNTAIN_PASS_P")</f>
        <v>MOUNTAIN_PASS_P</v>
      </c>
      <c r="C353" t="s">
        <v>6574</v>
      </c>
      <c r="D353" t="s">
        <v>2954</v>
      </c>
      <c r="E353">
        <v>0</v>
      </c>
      <c r="F353" t="s">
        <v>2955</v>
      </c>
      <c r="G353" t="s">
        <v>2956</v>
      </c>
      <c r="H353" t="s">
        <v>2957</v>
      </c>
    </row>
    <row r="354" spans="1:8" x14ac:dyDescent="0.55000000000000004">
      <c r="A354" t="s">
        <v>6810</v>
      </c>
      <c r="B354" s="7" t="str">
        <f>HYPERLINK("[#]Feature_Schema_1!A49083:F49083","MUNITION_STORAGE_FACILITY_P")</f>
        <v>MUNITION_STORAGE_FACILITY_P</v>
      </c>
      <c r="C354" t="s">
        <v>6575</v>
      </c>
      <c r="D354" t="s">
        <v>1278</v>
      </c>
      <c r="E354">
        <v>0</v>
      </c>
      <c r="F354" t="s">
        <v>1279</v>
      </c>
      <c r="G354" t="s">
        <v>1280</v>
      </c>
      <c r="H354" t="s">
        <v>1281</v>
      </c>
    </row>
    <row r="355" spans="1:8" x14ac:dyDescent="0.55000000000000004">
      <c r="A355" t="s">
        <v>6811</v>
      </c>
      <c r="B355" s="7" t="str">
        <f>HYPERLINK("[#]Feature_Schema_1!A49152:F49152","MUNITION_STORAGE_FACILITY_S")</f>
        <v>MUNITION_STORAGE_FACILITY_S</v>
      </c>
      <c r="C355" t="s">
        <v>6575</v>
      </c>
      <c r="D355" t="s">
        <v>1278</v>
      </c>
      <c r="E355">
        <v>0</v>
      </c>
      <c r="F355" t="s">
        <v>1279</v>
      </c>
      <c r="G355" t="s">
        <v>1280</v>
      </c>
      <c r="H355" t="s">
        <v>1281</v>
      </c>
    </row>
    <row r="356" spans="1:8" x14ac:dyDescent="0.55000000000000004">
      <c r="A356" t="s">
        <v>6823</v>
      </c>
      <c r="B356" s="7" t="str">
        <f>HYPERLINK("[#]Feature_Schema_1!A49221:F49221","NAMED_LOCATION_C")</f>
        <v>NAMED_LOCATION_C</v>
      </c>
      <c r="C356" t="s">
        <v>6076</v>
      </c>
      <c r="D356" t="s">
        <v>6078</v>
      </c>
      <c r="E356">
        <v>0</v>
      </c>
      <c r="F356" t="s">
        <v>6079</v>
      </c>
      <c r="G356" t="s">
        <v>6080</v>
      </c>
      <c r="H356" t="s">
        <v>6077</v>
      </c>
    </row>
    <row r="357" spans="1:8" x14ac:dyDescent="0.55000000000000004">
      <c r="A357" t="s">
        <v>6756</v>
      </c>
      <c r="B357" s="7" t="str">
        <f>HYPERLINK("[#]Feature_Schema_1!A49278:F49278","NAMED_LOCATION_P")</f>
        <v>NAMED_LOCATION_P</v>
      </c>
      <c r="C357" t="s">
        <v>6076</v>
      </c>
      <c r="D357" t="s">
        <v>6078</v>
      </c>
      <c r="E357">
        <v>0</v>
      </c>
      <c r="F357" t="s">
        <v>6079</v>
      </c>
      <c r="G357" t="s">
        <v>6080</v>
      </c>
      <c r="H357" t="s">
        <v>6077</v>
      </c>
    </row>
    <row r="358" spans="1:8" x14ac:dyDescent="0.55000000000000004">
      <c r="A358" t="s">
        <v>6819</v>
      </c>
      <c r="B358" s="7" t="str">
        <f>HYPERLINK("[#]Feature_Schema_1!A49335:F49335","NAMED_LOCATION_S")</f>
        <v>NAMED_LOCATION_S</v>
      </c>
      <c r="C358" t="s">
        <v>6076</v>
      </c>
      <c r="D358" t="s">
        <v>6078</v>
      </c>
      <c r="E358">
        <v>0</v>
      </c>
      <c r="F358" t="s">
        <v>6079</v>
      </c>
      <c r="G358" t="s">
        <v>6080</v>
      </c>
      <c r="H358" t="s">
        <v>6077</v>
      </c>
    </row>
    <row r="359" spans="1:8" x14ac:dyDescent="0.55000000000000004">
      <c r="A359" t="s">
        <v>6762</v>
      </c>
      <c r="B359" s="7" t="str">
        <f>HYPERLINK("[#]Feature_Schema_1!A49392:F49392","NATURAL_POOL_AON_S")</f>
        <v>NATURAL_POOL_AON_S</v>
      </c>
      <c r="C359" t="s">
        <v>6576</v>
      </c>
    </row>
    <row r="360" spans="1:8" x14ac:dyDescent="0.55000000000000004">
      <c r="A360" t="s">
        <v>6792</v>
      </c>
      <c r="B360" s="7" t="str">
        <f>HYPERLINK("[#]Feature_Schema_1!A49557:F49557","NATURAL_POOL_P")</f>
        <v>NATURAL_POOL_P</v>
      </c>
      <c r="C360" t="s">
        <v>6577</v>
      </c>
      <c r="D360" t="s">
        <v>2628</v>
      </c>
      <c r="E360">
        <v>0</v>
      </c>
      <c r="F360" t="s">
        <v>2629</v>
      </c>
      <c r="G360" t="s">
        <v>2630</v>
      </c>
      <c r="H360" t="s">
        <v>2631</v>
      </c>
    </row>
    <row r="361" spans="1:8" x14ac:dyDescent="0.55000000000000004">
      <c r="A361" t="s">
        <v>6764</v>
      </c>
      <c r="B361" s="7" t="str">
        <f>HYPERLINK("[#]Feature_Schema_1!A49811:F49811","NATURAL_POOL_S")</f>
        <v>NATURAL_POOL_S</v>
      </c>
      <c r="C361" t="s">
        <v>6577</v>
      </c>
      <c r="D361" t="s">
        <v>2628</v>
      </c>
      <c r="E361">
        <v>0</v>
      </c>
      <c r="F361" t="s">
        <v>2629</v>
      </c>
      <c r="G361" t="s">
        <v>2630</v>
      </c>
      <c r="H361" t="s">
        <v>2631</v>
      </c>
    </row>
    <row r="362" spans="1:8" x14ac:dyDescent="0.55000000000000004">
      <c r="A362" t="s">
        <v>6754</v>
      </c>
      <c r="B362" s="7" t="str">
        <f>HYPERLINK("[#]Feature_Schema_1!A50065:F50065","NAUTICAL_GRIDIRON_S")</f>
        <v>NAUTICAL_GRIDIRON_S</v>
      </c>
      <c r="C362" t="s">
        <v>6578</v>
      </c>
      <c r="D362" t="s">
        <v>2034</v>
      </c>
      <c r="E362">
        <v>0</v>
      </c>
      <c r="F362" t="s">
        <v>2035</v>
      </c>
      <c r="G362" t="s">
        <v>2036</v>
      </c>
      <c r="H362" t="s">
        <v>2037</v>
      </c>
    </row>
    <row r="363" spans="1:8" x14ac:dyDescent="0.55000000000000004">
      <c r="A363" t="s">
        <v>6824</v>
      </c>
      <c r="B363" s="7" t="str">
        <f>HYPERLINK("[#]Feature_Schema_1!A50154:F50154","NAVIGABLE_CANAL_AON_S")</f>
        <v>NAVIGABLE_CANAL_AON_S</v>
      </c>
      <c r="C363" t="s">
        <v>6579</v>
      </c>
    </row>
    <row r="364" spans="1:8" x14ac:dyDescent="0.55000000000000004">
      <c r="A364" t="s">
        <v>6775</v>
      </c>
      <c r="B364" s="7" t="str">
        <f>HYPERLINK("[#]Feature_Schema_1!A50621:F50621","NAVIGABLE_CANAL_C")</f>
        <v>NAVIGABLE_CANAL_C</v>
      </c>
      <c r="C364" t="s">
        <v>6580</v>
      </c>
      <c r="D364" t="s">
        <v>2508</v>
      </c>
      <c r="E364">
        <v>0</v>
      </c>
      <c r="F364" t="s">
        <v>2509</v>
      </c>
      <c r="G364" t="s">
        <v>2510</v>
      </c>
      <c r="H364" t="s">
        <v>2511</v>
      </c>
    </row>
    <row r="365" spans="1:8" x14ac:dyDescent="0.55000000000000004">
      <c r="A365" t="s">
        <v>6809</v>
      </c>
      <c r="B365" s="7" t="str">
        <f>HYPERLINK("[#]Feature_Schema_1!A51090:F51090","NAVIGABLE_CANAL_S")</f>
        <v>NAVIGABLE_CANAL_S</v>
      </c>
      <c r="C365" t="s">
        <v>6580</v>
      </c>
      <c r="D365" t="s">
        <v>2508</v>
      </c>
      <c r="E365">
        <v>0</v>
      </c>
      <c r="F365" t="s">
        <v>2509</v>
      </c>
      <c r="G365" t="s">
        <v>2510</v>
      </c>
      <c r="H365" t="s">
        <v>2511</v>
      </c>
    </row>
    <row r="366" spans="1:8" x14ac:dyDescent="0.55000000000000004">
      <c r="A366" t="s">
        <v>6825</v>
      </c>
      <c r="B366" s="7" t="str">
        <f>HYPERLINK("[#]Feature_Schema_1!A51559:F51559","NEIGHBOURHOOD_S")</f>
        <v>NEIGHBOURHOOD_S</v>
      </c>
      <c r="C366" t="s">
        <v>6581</v>
      </c>
    </row>
    <row r="367" spans="1:8" x14ac:dyDescent="0.55000000000000004">
      <c r="A367" t="s">
        <v>6771</v>
      </c>
      <c r="B367" s="7" t="str">
        <f>HYPERLINK("[#]Feature_Schema_1!A51624:F51624","NON_BUILDING_STRUCTURE_P")</f>
        <v>NON_BUILDING_STRUCTURE_P</v>
      </c>
      <c r="C367" t="s">
        <v>6582</v>
      </c>
      <c r="D367" t="s">
        <v>479</v>
      </c>
      <c r="E367">
        <v>0</v>
      </c>
      <c r="F367" t="s">
        <v>480</v>
      </c>
      <c r="G367" t="s">
        <v>481</v>
      </c>
      <c r="H367" t="s">
        <v>482</v>
      </c>
    </row>
    <row r="368" spans="1:8" x14ac:dyDescent="0.55000000000000004">
      <c r="A368" t="s">
        <v>6772</v>
      </c>
      <c r="B368" s="7" t="str">
        <f>HYPERLINK("[#]Feature_Schema_1!A52110:F52110","NON_BUILDING_STRUCTURE_S")</f>
        <v>NON_BUILDING_STRUCTURE_S</v>
      </c>
      <c r="C368" t="s">
        <v>6582</v>
      </c>
      <c r="D368" t="s">
        <v>479</v>
      </c>
      <c r="E368">
        <v>0</v>
      </c>
      <c r="F368" t="s">
        <v>480</v>
      </c>
      <c r="G368" t="s">
        <v>481</v>
      </c>
      <c r="H368" t="s">
        <v>482</v>
      </c>
    </row>
    <row r="369" spans="1:8" x14ac:dyDescent="0.55000000000000004">
      <c r="A369" t="s">
        <v>6780</v>
      </c>
      <c r="B369" s="7" t="str">
        <f>HYPERLINK("[#]Feature_Schema_1!A52596:F52596","NON_WATER_WELL_P")</f>
        <v>NON_WATER_WELL_P</v>
      </c>
      <c r="C369" t="s">
        <v>6583</v>
      </c>
    </row>
    <row r="370" spans="1:8" x14ac:dyDescent="0.55000000000000004">
      <c r="A370" t="s">
        <v>6745</v>
      </c>
      <c r="B370" s="7" t="str">
        <f>HYPERLINK("[#]Feature_Schema_1!A52728:F52728","NUCLEAR_REACTOR_CONTAINMENT_P")</f>
        <v>NUCLEAR_REACTOR_CONTAINMENT_P</v>
      </c>
      <c r="C370" t="s">
        <v>6584</v>
      </c>
      <c r="D370" t="s">
        <v>153</v>
      </c>
      <c r="E370">
        <v>0</v>
      </c>
      <c r="F370" t="s">
        <v>154</v>
      </c>
      <c r="G370" t="s">
        <v>155</v>
      </c>
      <c r="H370" t="s">
        <v>156</v>
      </c>
    </row>
    <row r="371" spans="1:8" x14ac:dyDescent="0.55000000000000004">
      <c r="A371" t="s">
        <v>6746</v>
      </c>
      <c r="B371" s="7" t="str">
        <f>HYPERLINK("[#]Feature_Schema_1!A52847:F52847","NUCLEAR_REACTOR_CONTAINMENT_S")</f>
        <v>NUCLEAR_REACTOR_CONTAINMENT_S</v>
      </c>
      <c r="C371" t="s">
        <v>6584</v>
      </c>
      <c r="D371" t="s">
        <v>153</v>
      </c>
      <c r="E371">
        <v>0</v>
      </c>
      <c r="F371" t="s">
        <v>154</v>
      </c>
      <c r="G371" t="s">
        <v>155</v>
      </c>
      <c r="H371" t="s">
        <v>156</v>
      </c>
    </row>
    <row r="372" spans="1:8" x14ac:dyDescent="0.55000000000000004">
      <c r="A372" t="s">
        <v>6791</v>
      </c>
      <c r="B372" s="7" t="str">
        <f>HYPERLINK("[#]Feature_Schema_1!A52966:F52966","OASIS_P")</f>
        <v>OASIS_P</v>
      </c>
      <c r="C372" t="s">
        <v>6585</v>
      </c>
      <c r="D372" t="s">
        <v>3231</v>
      </c>
      <c r="E372">
        <v>0</v>
      </c>
      <c r="F372" t="s">
        <v>3232</v>
      </c>
      <c r="G372" t="s">
        <v>3233</v>
      </c>
      <c r="H372" t="s">
        <v>3234</v>
      </c>
    </row>
    <row r="373" spans="1:8" x14ac:dyDescent="0.55000000000000004">
      <c r="A373" t="s">
        <v>6770</v>
      </c>
      <c r="B373" s="7" t="str">
        <f>HYPERLINK("[#]Feature_Schema_1!A53012:F53012","OASIS_S")</f>
        <v>OASIS_S</v>
      </c>
      <c r="C373" t="s">
        <v>6585</v>
      </c>
      <c r="D373" t="s">
        <v>3231</v>
      </c>
      <c r="E373">
        <v>0</v>
      </c>
      <c r="F373" t="s">
        <v>3232</v>
      </c>
      <c r="G373" t="s">
        <v>3233</v>
      </c>
      <c r="H373" t="s">
        <v>3234</v>
      </c>
    </row>
    <row r="374" spans="1:8" x14ac:dyDescent="0.55000000000000004">
      <c r="A374" t="s">
        <v>6807</v>
      </c>
      <c r="B374" s="7" t="str">
        <f>HYPERLINK("[#]Feature_Schema_1!A53058:F53058","OFFICE_PARK_S")</f>
        <v>OFFICE_PARK_S</v>
      </c>
      <c r="C374" t="s">
        <v>6586</v>
      </c>
      <c r="D374" t="s">
        <v>217</v>
      </c>
      <c r="E374">
        <v>0</v>
      </c>
      <c r="F374" t="s">
        <v>218</v>
      </c>
      <c r="G374" t="s">
        <v>219</v>
      </c>
      <c r="H374" t="s">
        <v>220</v>
      </c>
    </row>
    <row r="375" spans="1:8" x14ac:dyDescent="0.55000000000000004">
      <c r="A375" t="s">
        <v>6792</v>
      </c>
      <c r="B375" s="7" t="str">
        <f>HYPERLINK("[#]Feature_Schema_1!A53793:F53793","OFFSHORE_CONSTRUCTION_P")</f>
        <v>OFFSHORE_CONSTRUCTION_P</v>
      </c>
      <c r="C375" t="s">
        <v>6587</v>
      </c>
      <c r="D375" t="s">
        <v>2357</v>
      </c>
      <c r="E375">
        <v>0</v>
      </c>
      <c r="F375" t="s">
        <v>2358</v>
      </c>
      <c r="G375" t="s">
        <v>2359</v>
      </c>
      <c r="H375" t="s">
        <v>2360</v>
      </c>
    </row>
    <row r="376" spans="1:8" x14ac:dyDescent="0.55000000000000004">
      <c r="A376" t="s">
        <v>6764</v>
      </c>
      <c r="B376" s="7" t="str">
        <f>HYPERLINK("[#]Feature_Schema_1!A53954:F53954","OFFSHORE_CONSTRUCTION_S")</f>
        <v>OFFSHORE_CONSTRUCTION_S</v>
      </c>
      <c r="C376" t="s">
        <v>6587</v>
      </c>
      <c r="D376" t="s">
        <v>2357</v>
      </c>
      <c r="E376">
        <v>0</v>
      </c>
      <c r="F376" t="s">
        <v>2358</v>
      </c>
      <c r="G376" t="s">
        <v>2359</v>
      </c>
      <c r="H376" t="s">
        <v>2360</v>
      </c>
    </row>
    <row r="377" spans="1:8" x14ac:dyDescent="0.55000000000000004">
      <c r="A377" t="s">
        <v>6826</v>
      </c>
      <c r="B377" s="7" t="str">
        <f>HYPERLINK("[#]Feature_Schema_1!A54115:F54115","ORCHARD_P")</f>
        <v>ORCHARD_P</v>
      </c>
      <c r="C377" t="s">
        <v>6588</v>
      </c>
      <c r="D377" t="s">
        <v>3043</v>
      </c>
      <c r="E377">
        <v>0</v>
      </c>
      <c r="F377" t="s">
        <v>3044</v>
      </c>
      <c r="G377" t="s">
        <v>3045</v>
      </c>
      <c r="H377" t="s">
        <v>3046</v>
      </c>
    </row>
    <row r="378" spans="1:8" x14ac:dyDescent="0.55000000000000004">
      <c r="A378" t="s">
        <v>6774</v>
      </c>
      <c r="B378" s="7" t="str">
        <f>HYPERLINK("[#]Feature_Schema_1!A54278:F54278","ORCHARD_S")</f>
        <v>ORCHARD_S</v>
      </c>
      <c r="C378" t="s">
        <v>6588</v>
      </c>
      <c r="D378" t="s">
        <v>3043</v>
      </c>
      <c r="E378">
        <v>0</v>
      </c>
      <c r="F378" t="s">
        <v>3044</v>
      </c>
      <c r="G378" t="s">
        <v>3045</v>
      </c>
      <c r="H378" t="s">
        <v>3046</v>
      </c>
    </row>
    <row r="379" spans="1:8" x14ac:dyDescent="0.55000000000000004">
      <c r="A379" t="s">
        <v>6752</v>
      </c>
      <c r="B379" s="7" t="str">
        <f>HYPERLINK("[#]Feature_Schema_1!A54441:F54441","OUTDOOR_THEATRE_SCREEN_C")</f>
        <v>OUTDOOR_THEATRE_SCREEN_C</v>
      </c>
      <c r="C379" t="s">
        <v>6589</v>
      </c>
      <c r="D379" t="s">
        <v>355</v>
      </c>
      <c r="E379">
        <v>0</v>
      </c>
      <c r="F379" t="s">
        <v>356</v>
      </c>
      <c r="G379" t="s">
        <v>357</v>
      </c>
      <c r="H379" t="s">
        <v>358</v>
      </c>
    </row>
    <row r="380" spans="1:8" x14ac:dyDescent="0.55000000000000004">
      <c r="A380" t="s">
        <v>6750</v>
      </c>
      <c r="B380" s="7" t="str">
        <f>HYPERLINK("[#]Feature_Schema_1!A54511:F54511","OUTDOOR_THEATRE_SCREEN_P")</f>
        <v>OUTDOOR_THEATRE_SCREEN_P</v>
      </c>
      <c r="C380" t="s">
        <v>6589</v>
      </c>
      <c r="D380" t="s">
        <v>355</v>
      </c>
      <c r="E380">
        <v>0</v>
      </c>
      <c r="F380" t="s">
        <v>356</v>
      </c>
      <c r="G380" t="s">
        <v>357</v>
      </c>
      <c r="H380" t="s">
        <v>358</v>
      </c>
    </row>
    <row r="381" spans="1:8" x14ac:dyDescent="0.55000000000000004">
      <c r="A381" t="s">
        <v>6766</v>
      </c>
      <c r="B381" s="7" t="str">
        <f>HYPERLINK("[#]Feature_Schema_1!A54581:F54581","OVERHEAD_OBSTRUCTION_C")</f>
        <v>OVERHEAD_OBSTRUCTION_C</v>
      </c>
      <c r="C381" t="s">
        <v>6590</v>
      </c>
      <c r="D381" t="s">
        <v>1046</v>
      </c>
      <c r="E381">
        <v>0</v>
      </c>
      <c r="F381" t="s">
        <v>1047</v>
      </c>
      <c r="G381" t="s">
        <v>1048</v>
      </c>
      <c r="H381" t="s">
        <v>1049</v>
      </c>
    </row>
    <row r="382" spans="1:8" x14ac:dyDescent="0.55000000000000004">
      <c r="A382" t="s">
        <v>6783</v>
      </c>
      <c r="B382" s="7" t="str">
        <f>HYPERLINK("[#]Feature_Schema_1!A54682:F54682","OVERHEAD_OBSTRUCTION_P")</f>
        <v>OVERHEAD_OBSTRUCTION_P</v>
      </c>
      <c r="C382" t="s">
        <v>6590</v>
      </c>
      <c r="D382" t="s">
        <v>1046</v>
      </c>
      <c r="E382">
        <v>0</v>
      </c>
      <c r="F382" t="s">
        <v>1047</v>
      </c>
      <c r="G382" t="s">
        <v>1048</v>
      </c>
      <c r="H382" t="s">
        <v>1049</v>
      </c>
    </row>
    <row r="383" spans="1:8" x14ac:dyDescent="0.55000000000000004">
      <c r="A383" t="s">
        <v>6777</v>
      </c>
      <c r="B383" s="7" t="str">
        <f>HYPERLINK("[#]Feature_Schema_1!A54783:F54783","PACK_ICE_C")</f>
        <v>PACK_ICE_C</v>
      </c>
      <c r="C383" t="s">
        <v>6591</v>
      </c>
      <c r="D383" t="s">
        <v>2790</v>
      </c>
      <c r="E383">
        <v>0</v>
      </c>
      <c r="F383" t="s">
        <v>2791</v>
      </c>
      <c r="G383" t="s">
        <v>2792</v>
      </c>
      <c r="H383" t="s">
        <v>2793</v>
      </c>
    </row>
    <row r="384" spans="1:8" x14ac:dyDescent="0.55000000000000004">
      <c r="A384" t="s">
        <v>6778</v>
      </c>
      <c r="B384" s="7" t="str">
        <f>HYPERLINK("[#]Feature_Schema_1!A54818:F54818","PACK_ICE_S")</f>
        <v>PACK_ICE_S</v>
      </c>
      <c r="C384" t="s">
        <v>6591</v>
      </c>
    </row>
    <row r="385" spans="1:8" x14ac:dyDescent="0.55000000000000004">
      <c r="A385" t="s">
        <v>6769</v>
      </c>
      <c r="B385" s="7" t="str">
        <f>HYPERLINK("[#]Feature_Schema_1!A54853:F54853","PARK_S")</f>
        <v>PARK_S</v>
      </c>
      <c r="C385" t="s">
        <v>6592</v>
      </c>
      <c r="D385" t="s">
        <v>379</v>
      </c>
      <c r="E385">
        <v>0</v>
      </c>
      <c r="F385" t="s">
        <v>380</v>
      </c>
      <c r="G385" t="s">
        <v>381</v>
      </c>
      <c r="H385" t="s">
        <v>382</v>
      </c>
    </row>
    <row r="386" spans="1:8" x14ac:dyDescent="0.55000000000000004">
      <c r="A386" t="s">
        <v>6783</v>
      </c>
      <c r="B386" s="7" t="str">
        <f>HYPERLINK("[#]Feature_Schema_1!A54929:F54929","PARKING_GARAGE_P")</f>
        <v>PARKING_GARAGE_P</v>
      </c>
      <c r="C386" t="s">
        <v>6593</v>
      </c>
      <c r="D386" t="s">
        <v>1742</v>
      </c>
      <c r="E386">
        <v>0</v>
      </c>
      <c r="F386" t="s">
        <v>1743</v>
      </c>
      <c r="G386" t="s">
        <v>1744</v>
      </c>
      <c r="H386" t="s">
        <v>1745</v>
      </c>
    </row>
    <row r="387" spans="1:8" x14ac:dyDescent="0.55000000000000004">
      <c r="A387" t="s">
        <v>6767</v>
      </c>
      <c r="B387" s="7" t="str">
        <f>HYPERLINK("[#]Feature_Schema_1!A55077:F55077","PARKING_GARAGE_S")</f>
        <v>PARKING_GARAGE_S</v>
      </c>
      <c r="C387" t="s">
        <v>6593</v>
      </c>
      <c r="D387" t="s">
        <v>1742</v>
      </c>
      <c r="E387">
        <v>0</v>
      </c>
      <c r="F387" t="s">
        <v>1743</v>
      </c>
      <c r="G387" t="s">
        <v>1744</v>
      </c>
      <c r="H387" t="s">
        <v>1745</v>
      </c>
    </row>
    <row r="388" spans="1:8" x14ac:dyDescent="0.55000000000000004">
      <c r="A388" t="s">
        <v>6784</v>
      </c>
      <c r="B388" s="7" t="str">
        <f>HYPERLINK("[#]Feature_Schema_1!A55225:F55225","PARTICLE_ACCELERATOR_C")</f>
        <v>PARTICLE_ACCELERATOR_C</v>
      </c>
      <c r="C388" t="s">
        <v>6594</v>
      </c>
      <c r="D388" t="s">
        <v>1034</v>
      </c>
      <c r="E388">
        <v>0</v>
      </c>
      <c r="F388" t="s">
        <v>1035</v>
      </c>
      <c r="G388" t="s">
        <v>1036</v>
      </c>
      <c r="H388" t="s">
        <v>1037</v>
      </c>
    </row>
    <row r="389" spans="1:8" x14ac:dyDescent="0.55000000000000004">
      <c r="A389" t="s">
        <v>6827</v>
      </c>
      <c r="B389" s="7" t="str">
        <f>HYPERLINK("[#]Feature_Schema_1!A55280:F55280","PARTICLE_ACCELERATOR_P")</f>
        <v>PARTICLE_ACCELERATOR_P</v>
      </c>
      <c r="C389" t="s">
        <v>6594</v>
      </c>
      <c r="D389" t="s">
        <v>1034</v>
      </c>
      <c r="E389">
        <v>0</v>
      </c>
      <c r="F389" t="s">
        <v>1035</v>
      </c>
      <c r="G389" t="s">
        <v>1036</v>
      </c>
      <c r="H389" t="s">
        <v>1037</v>
      </c>
    </row>
    <row r="390" spans="1:8" x14ac:dyDescent="0.55000000000000004">
      <c r="A390" t="s">
        <v>6772</v>
      </c>
      <c r="B390" s="7" t="str">
        <f>HYPERLINK("[#]Feature_Schema_1!A55335:F55335","PARTICLE_ACCELERATOR_S")</f>
        <v>PARTICLE_ACCELERATOR_S</v>
      </c>
      <c r="C390" t="s">
        <v>6594</v>
      </c>
      <c r="D390" t="s">
        <v>1034</v>
      </c>
      <c r="E390">
        <v>0</v>
      </c>
      <c r="F390" t="s">
        <v>1035</v>
      </c>
      <c r="G390" t="s">
        <v>1036</v>
      </c>
      <c r="H390" t="s">
        <v>1037</v>
      </c>
    </row>
    <row r="391" spans="1:8" x14ac:dyDescent="0.55000000000000004">
      <c r="A391" t="s">
        <v>6763</v>
      </c>
      <c r="B391" s="7" t="str">
        <f>HYPERLINK("[#]Feature_Schema_1!A55390:F55390","PENSTOCK_C")</f>
        <v>PENSTOCK_C</v>
      </c>
      <c r="C391" t="s">
        <v>6595</v>
      </c>
      <c r="D391" t="s">
        <v>2580</v>
      </c>
      <c r="E391">
        <v>0</v>
      </c>
      <c r="F391" t="s">
        <v>2581</v>
      </c>
      <c r="G391" t="s">
        <v>2582</v>
      </c>
      <c r="H391" t="s">
        <v>2583</v>
      </c>
    </row>
    <row r="392" spans="1:8" x14ac:dyDescent="0.55000000000000004">
      <c r="A392" t="s">
        <v>6751</v>
      </c>
      <c r="B392" s="7" t="str">
        <f>HYPERLINK("[#]Feature_Schema_1!A55450:F55450","PICNIC_SITE_S")</f>
        <v>PICNIC_SITE_S</v>
      </c>
      <c r="C392" t="s">
        <v>6596</v>
      </c>
      <c r="D392" t="s">
        <v>347</v>
      </c>
      <c r="E392">
        <v>0</v>
      </c>
      <c r="F392" t="s">
        <v>348</v>
      </c>
      <c r="G392" t="s">
        <v>349</v>
      </c>
      <c r="H392" t="s">
        <v>350</v>
      </c>
    </row>
    <row r="393" spans="1:8" x14ac:dyDescent="0.55000000000000004">
      <c r="A393" t="s">
        <v>6828</v>
      </c>
      <c r="B393" s="7" t="str">
        <f>HYPERLINK("[#]Feature_Schema_1!A55505:F55505","PIPELINE_AON_S")</f>
        <v>PIPELINE_AON_S</v>
      </c>
      <c r="C393" t="s">
        <v>6597</v>
      </c>
    </row>
    <row r="394" spans="1:8" x14ac:dyDescent="0.55000000000000004">
      <c r="A394" t="s">
        <v>6788</v>
      </c>
      <c r="B394" s="7" t="str">
        <f>HYPERLINK("[#]Feature_Schema_1!A55815:F55815","PIPELINE_C")</f>
        <v>PIPELINE_C</v>
      </c>
      <c r="C394" t="s">
        <v>6598</v>
      </c>
      <c r="D394" t="s">
        <v>1698</v>
      </c>
      <c r="E394">
        <v>0</v>
      </c>
      <c r="F394" t="s">
        <v>1699</v>
      </c>
      <c r="G394" t="s">
        <v>1700</v>
      </c>
      <c r="H394" t="s">
        <v>1701</v>
      </c>
    </row>
    <row r="395" spans="1:8" x14ac:dyDescent="0.55000000000000004">
      <c r="A395" t="s">
        <v>6783</v>
      </c>
      <c r="B395" s="7" t="str">
        <f>HYPERLINK("[#]Feature_Schema_1!A56134:F56134","PIPELINE_CROSSING_POINT_P")</f>
        <v>PIPELINE_CROSSING_POINT_P</v>
      </c>
      <c r="C395" t="s">
        <v>6599</v>
      </c>
      <c r="D395" t="s">
        <v>1050</v>
      </c>
      <c r="E395">
        <v>0</v>
      </c>
      <c r="F395" t="s">
        <v>1051</v>
      </c>
      <c r="G395" t="s">
        <v>1052</v>
      </c>
      <c r="H395" t="s">
        <v>1053</v>
      </c>
    </row>
    <row r="396" spans="1:8" x14ac:dyDescent="0.55000000000000004">
      <c r="A396" t="s">
        <v>6774</v>
      </c>
      <c r="B396" s="7" t="str">
        <f>HYPERLINK("[#]Feature_Schema_1!A56187:F56187","PLANT_NURSERY_S")</f>
        <v>PLANT_NURSERY_S</v>
      </c>
      <c r="C396" t="s">
        <v>6600</v>
      </c>
      <c r="D396" t="s">
        <v>3035</v>
      </c>
      <c r="E396">
        <v>0</v>
      </c>
      <c r="F396" t="s">
        <v>3036</v>
      </c>
      <c r="G396" t="s">
        <v>3037</v>
      </c>
      <c r="H396" t="s">
        <v>3038</v>
      </c>
    </row>
    <row r="397" spans="1:8" x14ac:dyDescent="0.55000000000000004">
      <c r="A397" t="s">
        <v>6770</v>
      </c>
      <c r="B397" s="7" t="str">
        <f>HYPERLINK("[#]Feature_Schema_1!A56286:F56286","POLAR_ICE_S")</f>
        <v>POLAR_ICE_S</v>
      </c>
      <c r="C397" t="s">
        <v>6601</v>
      </c>
      <c r="D397" t="s">
        <v>2794</v>
      </c>
      <c r="E397">
        <v>0</v>
      </c>
      <c r="F397" t="s">
        <v>2795</v>
      </c>
      <c r="G397" t="s">
        <v>2796</v>
      </c>
      <c r="H397" t="s">
        <v>2797</v>
      </c>
    </row>
    <row r="398" spans="1:8" x14ac:dyDescent="0.55000000000000004">
      <c r="A398" t="s">
        <v>6829</v>
      </c>
      <c r="B398" s="7" t="str">
        <f>HYPERLINK("[#]Feature_Schema_1!A56331:F56331","PORT_P")</f>
        <v>PORT_P</v>
      </c>
      <c r="C398" t="s">
        <v>6602</v>
      </c>
      <c r="D398" t="s">
        <v>1922</v>
      </c>
      <c r="E398">
        <v>0</v>
      </c>
      <c r="F398" t="s">
        <v>1923</v>
      </c>
      <c r="G398" t="s">
        <v>1924</v>
      </c>
      <c r="H398" t="s">
        <v>1925</v>
      </c>
    </row>
    <row r="399" spans="1:8" x14ac:dyDescent="0.55000000000000004">
      <c r="A399" t="s">
        <v>6803</v>
      </c>
      <c r="B399" s="7" t="str">
        <f>HYPERLINK("[#]Feature_Schema_2!A3:F3","PORT_S")</f>
        <v>PORT_S</v>
      </c>
      <c r="C399" t="s">
        <v>6602</v>
      </c>
    </row>
    <row r="400" spans="1:8" x14ac:dyDescent="0.55000000000000004">
      <c r="A400" t="s">
        <v>6745</v>
      </c>
      <c r="B400" s="7" t="str">
        <f>HYPERLINK("[#]Feature_Schema_2!A589:F589","POWER_SUBSTATION_P")</f>
        <v>POWER_SUBSTATION_P</v>
      </c>
      <c r="C400" t="s">
        <v>6603</v>
      </c>
      <c r="D400" t="s">
        <v>145</v>
      </c>
      <c r="E400">
        <v>0</v>
      </c>
      <c r="F400" t="s">
        <v>146</v>
      </c>
      <c r="G400" t="s">
        <v>147</v>
      </c>
      <c r="H400" t="s">
        <v>148</v>
      </c>
    </row>
    <row r="401" spans="1:8" x14ac:dyDescent="0.55000000000000004">
      <c r="A401" t="s">
        <v>6746</v>
      </c>
      <c r="B401" s="7" t="str">
        <f>HYPERLINK("[#]Feature_Schema_2!A713:F713","POWER_SUBSTATION_S")</f>
        <v>POWER_SUBSTATION_S</v>
      </c>
      <c r="C401" t="s">
        <v>6603</v>
      </c>
      <c r="D401" t="s">
        <v>145</v>
      </c>
      <c r="E401">
        <v>0</v>
      </c>
      <c r="F401" t="s">
        <v>146</v>
      </c>
      <c r="G401" t="s">
        <v>147</v>
      </c>
      <c r="H401" t="s">
        <v>148</v>
      </c>
    </row>
    <row r="402" spans="1:8" x14ac:dyDescent="0.55000000000000004">
      <c r="A402" t="s">
        <v>6776</v>
      </c>
      <c r="B402" s="7" t="str">
        <f>HYPERLINK("[#]Feature_Schema_2!A837:F837","PREPARED_WATERCOURSE_CROSS_P")</f>
        <v>PREPARED_WATERCOURSE_CROSS_P</v>
      </c>
      <c r="C402" t="s">
        <v>6604</v>
      </c>
      <c r="D402" t="s">
        <v>1694</v>
      </c>
      <c r="E402">
        <v>0</v>
      </c>
      <c r="F402" t="s">
        <v>1695</v>
      </c>
      <c r="G402" t="s">
        <v>1696</v>
      </c>
      <c r="H402" t="s">
        <v>1697</v>
      </c>
    </row>
    <row r="403" spans="1:8" x14ac:dyDescent="0.55000000000000004">
      <c r="A403" t="s">
        <v>6750</v>
      </c>
      <c r="B403" s="7" t="str">
        <f>HYPERLINK("[#]Feature_Schema_2!A899:F899","PUBLIC_SQUARE_P")</f>
        <v>PUBLIC_SQUARE_P</v>
      </c>
      <c r="C403" t="s">
        <v>6605</v>
      </c>
      <c r="D403" t="s">
        <v>1054</v>
      </c>
      <c r="E403">
        <v>0</v>
      </c>
      <c r="F403" t="s">
        <v>1055</v>
      </c>
      <c r="G403" t="s">
        <v>1056</v>
      </c>
      <c r="H403" t="s">
        <v>1057</v>
      </c>
    </row>
    <row r="404" spans="1:8" x14ac:dyDescent="0.55000000000000004">
      <c r="A404" t="s">
        <v>6751</v>
      </c>
      <c r="B404" s="7" t="str">
        <f>HYPERLINK("[#]Feature_Schema_2!A953:F953","PUBLIC_SQUARE_S")</f>
        <v>PUBLIC_SQUARE_S</v>
      </c>
      <c r="C404" t="s">
        <v>6605</v>
      </c>
      <c r="D404" t="s">
        <v>1054</v>
      </c>
      <c r="E404">
        <v>0</v>
      </c>
      <c r="F404" t="s">
        <v>1055</v>
      </c>
      <c r="G404" t="s">
        <v>1056</v>
      </c>
      <c r="H404" t="s">
        <v>1057</v>
      </c>
    </row>
    <row r="405" spans="1:8" x14ac:dyDescent="0.55000000000000004">
      <c r="A405" t="s">
        <v>6830</v>
      </c>
      <c r="B405" s="7" t="str">
        <f>HYPERLINK("[#]Feature_Schema_2!A1007:F1007","PUMP_P")</f>
        <v>PUMP_P</v>
      </c>
      <c r="C405" t="s">
        <v>6606</v>
      </c>
    </row>
    <row r="406" spans="1:8" x14ac:dyDescent="0.55000000000000004">
      <c r="A406" t="s">
        <v>6828</v>
      </c>
      <c r="B406" s="7" t="str">
        <f>HYPERLINK("[#]Feature_Schema_2!A1098:F1098","PUMPING_STATION_AON_S")</f>
        <v>PUMPING_STATION_AON_S</v>
      </c>
      <c r="C406" t="s">
        <v>6607</v>
      </c>
    </row>
    <row r="407" spans="1:8" x14ac:dyDescent="0.55000000000000004">
      <c r="A407" t="s">
        <v>6745</v>
      </c>
      <c r="B407" s="7" t="str">
        <f>HYPERLINK("[#]Feature_Schema_2!A1409:F1409","PUMPING_STATION_P")</f>
        <v>PUMPING_STATION_P</v>
      </c>
      <c r="C407" t="s">
        <v>6608</v>
      </c>
      <c r="D407" t="s">
        <v>1710</v>
      </c>
      <c r="E407">
        <v>0</v>
      </c>
      <c r="F407" t="s">
        <v>1711</v>
      </c>
      <c r="G407" t="s">
        <v>1712</v>
      </c>
      <c r="H407" t="s">
        <v>1713</v>
      </c>
    </row>
    <row r="408" spans="1:8" x14ac:dyDescent="0.55000000000000004">
      <c r="A408" t="s">
        <v>6746</v>
      </c>
      <c r="B408" s="7" t="str">
        <f>HYPERLINK("[#]Feature_Schema_2!A1721:F1721","PUMPING_STATION_S")</f>
        <v>PUMPING_STATION_S</v>
      </c>
      <c r="C408" t="s">
        <v>6608</v>
      </c>
      <c r="D408" t="s">
        <v>1710</v>
      </c>
      <c r="E408">
        <v>0</v>
      </c>
      <c r="F408" t="s">
        <v>1711</v>
      </c>
      <c r="G408" t="s">
        <v>1712</v>
      </c>
      <c r="H408" t="s">
        <v>1713</v>
      </c>
    </row>
    <row r="409" spans="1:8" x14ac:dyDescent="0.55000000000000004">
      <c r="A409" t="s">
        <v>6745</v>
      </c>
      <c r="B409" s="7" t="str">
        <f>HYPERLINK("[#]Feature_Schema_2!A2033:F2033","PYLON_P")</f>
        <v>PYLON_P</v>
      </c>
      <c r="C409" t="s">
        <v>6609</v>
      </c>
      <c r="D409" t="s">
        <v>1822</v>
      </c>
      <c r="E409">
        <v>0</v>
      </c>
      <c r="F409" t="s">
        <v>1823</v>
      </c>
      <c r="G409" t="s">
        <v>1824</v>
      </c>
      <c r="H409" t="s">
        <v>1825</v>
      </c>
    </row>
    <row r="410" spans="1:8" x14ac:dyDescent="0.55000000000000004">
      <c r="A410" t="s">
        <v>6792</v>
      </c>
      <c r="B410" s="7" t="str">
        <f>HYPERLINK("[#]Feature_Schema_2!A2174:F2174","QANAT_SHAFT_P")</f>
        <v>QANAT_SHAFT_P</v>
      </c>
      <c r="C410" t="s">
        <v>6610</v>
      </c>
      <c r="D410" t="s">
        <v>2500</v>
      </c>
      <c r="E410">
        <v>0</v>
      </c>
      <c r="F410" t="s">
        <v>2501</v>
      </c>
      <c r="G410" t="s">
        <v>2502</v>
      </c>
      <c r="H410" t="s">
        <v>2503</v>
      </c>
    </row>
    <row r="411" spans="1:8" x14ac:dyDescent="0.55000000000000004">
      <c r="A411" t="s">
        <v>6752</v>
      </c>
      <c r="B411" s="7" t="str">
        <f>HYPERLINK("[#]Feature_Schema_2!A2273:F2273","RACETRACK_C")</f>
        <v>RACETRACK_C</v>
      </c>
      <c r="C411" t="s">
        <v>6611</v>
      </c>
      <c r="D411" t="s">
        <v>399</v>
      </c>
      <c r="E411">
        <v>0</v>
      </c>
      <c r="F411" t="s">
        <v>400</v>
      </c>
      <c r="G411" t="s">
        <v>401</v>
      </c>
      <c r="H411" t="s">
        <v>402</v>
      </c>
    </row>
    <row r="412" spans="1:8" x14ac:dyDescent="0.55000000000000004">
      <c r="A412" t="s">
        <v>6751</v>
      </c>
      <c r="B412" s="7" t="str">
        <f>HYPERLINK("[#]Feature_Schema_2!A2342:F2342","RACETRACK_S")</f>
        <v>RACETRACK_S</v>
      </c>
      <c r="C412" t="s">
        <v>6611</v>
      </c>
      <c r="D412" t="s">
        <v>399</v>
      </c>
      <c r="E412">
        <v>0</v>
      </c>
      <c r="F412" t="s">
        <v>400</v>
      </c>
      <c r="G412" t="s">
        <v>401</v>
      </c>
      <c r="H412" t="s">
        <v>402</v>
      </c>
    </row>
    <row r="413" spans="1:8" x14ac:dyDescent="0.55000000000000004">
      <c r="A413" t="s">
        <v>6806</v>
      </c>
      <c r="B413" s="7" t="str">
        <f>HYPERLINK("[#]Feature_Schema_2!A2411:F2411","RADAR_STATION_P")</f>
        <v>RADAR_STATION_P</v>
      </c>
      <c r="C413" t="s">
        <v>6612</v>
      </c>
      <c r="D413" t="s">
        <v>1826</v>
      </c>
      <c r="E413">
        <v>0</v>
      </c>
      <c r="F413" t="s">
        <v>1827</v>
      </c>
      <c r="G413" t="s">
        <v>1828</v>
      </c>
      <c r="H413" t="s">
        <v>1829</v>
      </c>
    </row>
    <row r="414" spans="1:8" x14ac:dyDescent="0.55000000000000004">
      <c r="A414" t="s">
        <v>6807</v>
      </c>
      <c r="B414" s="7" t="str">
        <f>HYPERLINK("[#]Feature_Schema_2!A2526:F2526","RADAR_STATION_S")</f>
        <v>RADAR_STATION_S</v>
      </c>
      <c r="C414" t="s">
        <v>6612</v>
      </c>
    </row>
    <row r="415" spans="1:8" x14ac:dyDescent="0.55000000000000004">
      <c r="A415" t="s">
        <v>6766</v>
      </c>
      <c r="B415" s="7" t="str">
        <f>HYPERLINK("[#]Feature_Schema_2!A2641:F2641","RAILWAY_C")</f>
        <v>RAILWAY_C</v>
      </c>
      <c r="C415" t="s">
        <v>1305</v>
      </c>
      <c r="D415" t="s">
        <v>1307</v>
      </c>
      <c r="E415">
        <v>0</v>
      </c>
      <c r="F415" t="s">
        <v>1308</v>
      </c>
      <c r="G415" t="s">
        <v>1309</v>
      </c>
      <c r="H415" t="s">
        <v>1306</v>
      </c>
    </row>
    <row r="416" spans="1:8" x14ac:dyDescent="0.55000000000000004">
      <c r="A416" t="s">
        <v>6766</v>
      </c>
      <c r="B416" s="7" t="str">
        <f>HYPERLINK("[#]Feature_Schema_2!A2808:F2808","RAILWAY_SIDETRACK_C")</f>
        <v>RAILWAY_SIDETRACK_C</v>
      </c>
      <c r="C416" t="s">
        <v>6613</v>
      </c>
      <c r="D416" t="s">
        <v>1352</v>
      </c>
      <c r="E416">
        <v>0</v>
      </c>
      <c r="F416" t="s">
        <v>1353</v>
      </c>
      <c r="G416" t="s">
        <v>1354</v>
      </c>
      <c r="H416" t="s">
        <v>1355</v>
      </c>
    </row>
    <row r="417" spans="1:8" x14ac:dyDescent="0.55000000000000004">
      <c r="A417" t="s">
        <v>6783</v>
      </c>
      <c r="B417" s="7" t="str">
        <f>HYPERLINK("[#]Feature_Schema_2!A2954:F2954","RAILWAY_SIGNAL_P")</f>
        <v>RAILWAY_SIGNAL_P</v>
      </c>
      <c r="C417" t="s">
        <v>6614</v>
      </c>
      <c r="D417" t="s">
        <v>1375</v>
      </c>
      <c r="E417">
        <v>0</v>
      </c>
      <c r="F417" t="s">
        <v>1376</v>
      </c>
      <c r="G417" t="s">
        <v>1377</v>
      </c>
      <c r="H417" t="s">
        <v>1378</v>
      </c>
    </row>
    <row r="418" spans="1:8" x14ac:dyDescent="0.55000000000000004">
      <c r="A418" t="s">
        <v>6783</v>
      </c>
      <c r="B418" s="7" t="str">
        <f>HYPERLINK("[#]Feature_Schema_2!A3007:F3007","RAILWAY_TURNTABLE_P")</f>
        <v>RAILWAY_TURNTABLE_P</v>
      </c>
      <c r="C418" t="s">
        <v>6615</v>
      </c>
      <c r="D418" t="s">
        <v>1364</v>
      </c>
      <c r="E418">
        <v>0</v>
      </c>
      <c r="F418" t="s">
        <v>1365</v>
      </c>
      <c r="G418" t="s">
        <v>1366</v>
      </c>
      <c r="H418" t="s">
        <v>1367</v>
      </c>
    </row>
    <row r="419" spans="1:8" x14ac:dyDescent="0.55000000000000004">
      <c r="A419" t="s">
        <v>6767</v>
      </c>
      <c r="B419" s="7" t="str">
        <f>HYPERLINK("[#]Feature_Schema_2!A3088:F3088","RAILWAY_TURNTABLE_S")</f>
        <v>RAILWAY_TURNTABLE_S</v>
      </c>
      <c r="C419" t="s">
        <v>6615</v>
      </c>
      <c r="D419" t="s">
        <v>1364</v>
      </c>
      <c r="E419">
        <v>0</v>
      </c>
      <c r="F419" t="s">
        <v>1365</v>
      </c>
      <c r="G419" t="s">
        <v>1366</v>
      </c>
      <c r="H419" t="s">
        <v>1367</v>
      </c>
    </row>
    <row r="420" spans="1:8" x14ac:dyDescent="0.55000000000000004">
      <c r="A420" t="s">
        <v>6802</v>
      </c>
      <c r="B420" s="7" t="str">
        <f>HYPERLINK("[#]Feature_Schema_2!A3169:F3169","RAILWAY_YARD_P")</f>
        <v>RAILWAY_YARD_P</v>
      </c>
      <c r="C420" t="s">
        <v>6616</v>
      </c>
      <c r="D420" t="s">
        <v>1356</v>
      </c>
      <c r="E420">
        <v>0</v>
      </c>
      <c r="F420" t="s">
        <v>1357</v>
      </c>
      <c r="G420" t="s">
        <v>1358</v>
      </c>
      <c r="H420" t="s">
        <v>1359</v>
      </c>
    </row>
    <row r="421" spans="1:8" x14ac:dyDescent="0.55000000000000004">
      <c r="A421" t="s">
        <v>6767</v>
      </c>
      <c r="B421" s="7" t="str">
        <f>HYPERLINK("[#]Feature_Schema_2!A3291:F3291","RAILWAY_YARD_S")</f>
        <v>RAILWAY_YARD_S</v>
      </c>
      <c r="C421" t="s">
        <v>6616</v>
      </c>
      <c r="D421" t="s">
        <v>1356</v>
      </c>
      <c r="E421">
        <v>0</v>
      </c>
      <c r="F421" t="s">
        <v>1357</v>
      </c>
      <c r="G421" t="s">
        <v>1358</v>
      </c>
      <c r="H421" t="s">
        <v>1359</v>
      </c>
    </row>
    <row r="422" spans="1:8" x14ac:dyDescent="0.55000000000000004">
      <c r="A422" t="s">
        <v>6766</v>
      </c>
      <c r="B422" s="7" t="str">
        <f>HYPERLINK("[#]Feature_Schema_2!A3413:F3413","RAMP_C")</f>
        <v>RAMP_C</v>
      </c>
      <c r="C422" t="s">
        <v>6617</v>
      </c>
      <c r="D422" t="s">
        <v>1066</v>
      </c>
      <c r="E422">
        <v>0</v>
      </c>
      <c r="F422" t="s">
        <v>1067</v>
      </c>
      <c r="G422" t="s">
        <v>1068</v>
      </c>
      <c r="H422" t="s">
        <v>1069</v>
      </c>
    </row>
    <row r="423" spans="1:8" x14ac:dyDescent="0.55000000000000004">
      <c r="A423" t="s">
        <v>6767</v>
      </c>
      <c r="B423" s="7" t="str">
        <f>HYPERLINK("[#]Feature_Schema_2!A3467:F3467","RAMP_S")</f>
        <v>RAMP_S</v>
      </c>
      <c r="C423" t="s">
        <v>6617</v>
      </c>
      <c r="D423" t="s">
        <v>1066</v>
      </c>
      <c r="E423">
        <v>0</v>
      </c>
      <c r="F423" t="s">
        <v>1067</v>
      </c>
      <c r="G423" t="s">
        <v>1068</v>
      </c>
      <c r="H423" t="s">
        <v>1069</v>
      </c>
    </row>
    <row r="424" spans="1:8" x14ac:dyDescent="0.55000000000000004">
      <c r="A424" t="s">
        <v>6763</v>
      </c>
      <c r="B424" s="7" t="str">
        <f>HYPERLINK("[#]Feature_Schema_2!A3521:F3521","RAPIDS_C")</f>
        <v>RAPIDS_C</v>
      </c>
      <c r="C424" t="s">
        <v>6618</v>
      </c>
      <c r="D424" t="s">
        <v>2588</v>
      </c>
      <c r="E424">
        <v>0</v>
      </c>
      <c r="F424" t="s">
        <v>2589</v>
      </c>
      <c r="G424" t="s">
        <v>2590</v>
      </c>
      <c r="H424" t="s">
        <v>2591</v>
      </c>
    </row>
    <row r="425" spans="1:8" x14ac:dyDescent="0.55000000000000004">
      <c r="A425" t="s">
        <v>6792</v>
      </c>
      <c r="B425" s="7" t="str">
        <f>HYPERLINK("[#]Feature_Schema_2!A3561:F3561","RAPIDS_P")</f>
        <v>RAPIDS_P</v>
      </c>
      <c r="C425" t="s">
        <v>6618</v>
      </c>
      <c r="D425" t="s">
        <v>2588</v>
      </c>
      <c r="E425">
        <v>0</v>
      </c>
      <c r="F425" t="s">
        <v>2589</v>
      </c>
      <c r="G425" t="s">
        <v>2590</v>
      </c>
      <c r="H425" t="s">
        <v>2591</v>
      </c>
    </row>
    <row r="426" spans="1:8" x14ac:dyDescent="0.55000000000000004">
      <c r="A426" t="s">
        <v>6764</v>
      </c>
      <c r="B426" s="7" t="str">
        <f>HYPERLINK("[#]Feature_Schema_2!A3601:F3601","RAPIDS_S")</f>
        <v>RAPIDS_S</v>
      </c>
      <c r="C426" t="s">
        <v>6618</v>
      </c>
      <c r="D426" t="s">
        <v>2588</v>
      </c>
      <c r="E426">
        <v>0</v>
      </c>
      <c r="F426" t="s">
        <v>2589</v>
      </c>
      <c r="G426" t="s">
        <v>2590</v>
      </c>
      <c r="H426" t="s">
        <v>2591</v>
      </c>
    </row>
    <row r="427" spans="1:8" x14ac:dyDescent="0.55000000000000004">
      <c r="A427" t="s">
        <v>6744</v>
      </c>
      <c r="B427" s="7" t="str">
        <f>HYPERLINK("[#]Feature_Schema_2!A3641:F3641","RECYCLING_SITE_S")</f>
        <v>RECYCLING_SITE_S</v>
      </c>
      <c r="C427" t="s">
        <v>6619</v>
      </c>
      <c r="D427" t="s">
        <v>45</v>
      </c>
      <c r="E427">
        <v>0</v>
      </c>
      <c r="F427" t="s">
        <v>46</v>
      </c>
      <c r="G427" t="s">
        <v>47</v>
      </c>
      <c r="H427" t="s">
        <v>48</v>
      </c>
    </row>
    <row r="428" spans="1:8" x14ac:dyDescent="0.55000000000000004">
      <c r="A428" t="s">
        <v>6801</v>
      </c>
      <c r="B428" s="7" t="str">
        <f>HYPERLINK("[#]Feature_Schema_2!A3707:F3707","REEF_C")</f>
        <v>REEF_C</v>
      </c>
      <c r="C428" t="s">
        <v>6620</v>
      </c>
      <c r="D428" t="s">
        <v>2365</v>
      </c>
      <c r="E428">
        <v>0</v>
      </c>
      <c r="F428" t="s">
        <v>2366</v>
      </c>
      <c r="G428" t="s">
        <v>2367</v>
      </c>
      <c r="H428" t="s">
        <v>2368</v>
      </c>
    </row>
    <row r="429" spans="1:8" x14ac:dyDescent="0.55000000000000004">
      <c r="A429" t="s">
        <v>6761</v>
      </c>
      <c r="B429" s="7" t="str">
        <f>HYPERLINK("[#]Feature_Schema_2!A3769:F3769","REEF_S")</f>
        <v>REEF_S</v>
      </c>
      <c r="C429" t="s">
        <v>6620</v>
      </c>
      <c r="D429" t="s">
        <v>2365</v>
      </c>
      <c r="E429">
        <v>0</v>
      </c>
      <c r="F429" t="s">
        <v>2366</v>
      </c>
      <c r="G429" t="s">
        <v>2367</v>
      </c>
      <c r="H429" t="s">
        <v>2368</v>
      </c>
    </row>
    <row r="430" spans="1:8" x14ac:dyDescent="0.55000000000000004">
      <c r="A430" s="9"/>
      <c r="B430" s="8" t="str">
        <f>HYPERLINK("[#]Feature_Schema_2!A3831:F3831","RESTRICTION_INFO_T")</f>
        <v>RESTRICTION_INFO_T</v>
      </c>
      <c r="C430" s="9" t="s">
        <v>6621</v>
      </c>
      <c r="D430" t="s">
        <v>6159</v>
      </c>
      <c r="E430">
        <v>0</v>
      </c>
      <c r="F430" t="s">
        <v>6160</v>
      </c>
      <c r="G430" t="s">
        <v>6161</v>
      </c>
      <c r="H430" t="s">
        <v>6162</v>
      </c>
    </row>
    <row r="431" spans="1:8" x14ac:dyDescent="0.55000000000000004">
      <c r="A431" t="s">
        <v>6769</v>
      </c>
      <c r="B431" s="7" t="str">
        <f>HYPERLINK("[#]Feature_Schema_2!A3853:F3853","RETAIL_STAND_S")</f>
        <v>RETAIL_STAND_S</v>
      </c>
      <c r="C431" t="s">
        <v>6622</v>
      </c>
      <c r="D431" t="s">
        <v>1062</v>
      </c>
      <c r="E431">
        <v>0</v>
      </c>
      <c r="F431" t="s">
        <v>1063</v>
      </c>
      <c r="G431" t="s">
        <v>1064</v>
      </c>
      <c r="H431" t="s">
        <v>1065</v>
      </c>
    </row>
    <row r="432" spans="1:8" x14ac:dyDescent="0.55000000000000004">
      <c r="A432" t="s">
        <v>6774</v>
      </c>
      <c r="B432" s="7" t="str">
        <f>HYPERLINK("[#]Feature_Schema_2!A3968:F3968","RICE_FIELD_S")</f>
        <v>RICE_FIELD_S</v>
      </c>
      <c r="C432" t="s">
        <v>6623</v>
      </c>
      <c r="D432" t="s">
        <v>2596</v>
      </c>
      <c r="E432">
        <v>0</v>
      </c>
      <c r="F432" t="s">
        <v>2597</v>
      </c>
      <c r="G432" t="s">
        <v>2598</v>
      </c>
      <c r="H432" t="s">
        <v>2599</v>
      </c>
    </row>
    <row r="433" spans="1:8" x14ac:dyDescent="0.55000000000000004">
      <c r="A433" t="s">
        <v>6780</v>
      </c>
      <c r="B433" s="7" t="str">
        <f>HYPERLINK("[#]Feature_Schema_2!A4129:F4129","RIG_P")</f>
        <v>RIG_P</v>
      </c>
      <c r="C433" t="s">
        <v>6624</v>
      </c>
      <c r="D433" t="s">
        <v>21</v>
      </c>
      <c r="E433">
        <v>0</v>
      </c>
      <c r="F433" t="s">
        <v>22</v>
      </c>
      <c r="G433" t="s">
        <v>23</v>
      </c>
      <c r="H433" t="s">
        <v>24</v>
      </c>
    </row>
    <row r="434" spans="1:8" x14ac:dyDescent="0.55000000000000004">
      <c r="A434" t="s">
        <v>6744</v>
      </c>
      <c r="B434" s="7" t="str">
        <f>HYPERLINK("[#]Feature_Schema_2!A4248:F4248","RIG_S")</f>
        <v>RIG_S</v>
      </c>
      <c r="C434" t="s">
        <v>6624</v>
      </c>
      <c r="D434" t="s">
        <v>21</v>
      </c>
      <c r="E434">
        <v>0</v>
      </c>
      <c r="F434" t="s">
        <v>22</v>
      </c>
      <c r="G434" t="s">
        <v>23</v>
      </c>
      <c r="H434" t="s">
        <v>24</v>
      </c>
    </row>
    <row r="435" spans="1:8" x14ac:dyDescent="0.55000000000000004">
      <c r="A435" t="s">
        <v>6762</v>
      </c>
      <c r="B435" s="7" t="str">
        <f>HYPERLINK("[#]Feature_Schema_2!A4367:F4367","RIVER_AON_S")</f>
        <v>RIVER_AON_S</v>
      </c>
      <c r="C435" t="s">
        <v>6625</v>
      </c>
    </row>
    <row r="436" spans="1:8" x14ac:dyDescent="0.55000000000000004">
      <c r="A436" t="s">
        <v>6763</v>
      </c>
      <c r="B436" s="7" t="str">
        <f>HYPERLINK("[#]Feature_Schema_2!A4817:F4817","RIVER_C")</f>
        <v>RIVER_C</v>
      </c>
      <c r="C436" t="s">
        <v>6626</v>
      </c>
      <c r="D436" t="s">
        <v>2600</v>
      </c>
      <c r="E436">
        <v>0</v>
      </c>
      <c r="F436" t="s">
        <v>2601</v>
      </c>
      <c r="G436" t="s">
        <v>2602</v>
      </c>
      <c r="H436" t="s">
        <v>2603</v>
      </c>
    </row>
    <row r="437" spans="1:8" x14ac:dyDescent="0.55000000000000004">
      <c r="A437" t="s">
        <v>6764</v>
      </c>
      <c r="B437" s="7" t="str">
        <f>HYPERLINK("[#]Feature_Schema_2!A5271:F5271","RIVER_S")</f>
        <v>RIVER_S</v>
      </c>
      <c r="C437" t="s">
        <v>6626</v>
      </c>
      <c r="D437" t="s">
        <v>2600</v>
      </c>
      <c r="E437">
        <v>0</v>
      </c>
      <c r="F437" t="s">
        <v>2601</v>
      </c>
      <c r="G437" t="s">
        <v>2602</v>
      </c>
      <c r="H437" t="s">
        <v>2603</v>
      </c>
    </row>
    <row r="438" spans="1:8" x14ac:dyDescent="0.55000000000000004">
      <c r="A438" t="s">
        <v>6766</v>
      </c>
      <c r="B438" s="7" t="str">
        <f>HYPERLINK("[#]Feature_Schema_2!A5725:F5725","ROAD_C")</f>
        <v>ROAD_C</v>
      </c>
      <c r="C438" t="s">
        <v>1420</v>
      </c>
      <c r="D438" t="s">
        <v>1422</v>
      </c>
      <c r="E438">
        <v>0</v>
      </c>
      <c r="F438" t="s">
        <v>1423</v>
      </c>
      <c r="G438" t="s">
        <v>1424</v>
      </c>
      <c r="H438" t="s">
        <v>1421</v>
      </c>
    </row>
    <row r="439" spans="1:8" x14ac:dyDescent="0.55000000000000004">
      <c r="A439" t="s">
        <v>6783</v>
      </c>
      <c r="B439" s="7" t="str">
        <f>HYPERLINK("[#]Feature_Schema_2!A5908:F5908","ROAD_INTERCHANGE_P")</f>
        <v>ROAD_INTERCHANGE_P</v>
      </c>
      <c r="C439" t="s">
        <v>1383</v>
      </c>
      <c r="D439" t="s">
        <v>1385</v>
      </c>
      <c r="E439">
        <v>0</v>
      </c>
      <c r="F439" t="s">
        <v>1386</v>
      </c>
      <c r="G439" t="s">
        <v>1387</v>
      </c>
      <c r="H439" t="s">
        <v>1384</v>
      </c>
    </row>
    <row r="440" spans="1:8" x14ac:dyDescent="0.55000000000000004">
      <c r="A440" t="s">
        <v>6767</v>
      </c>
      <c r="B440" s="7" t="str">
        <f>HYPERLINK("[#]Feature_Schema_2!A6003:F6003","ROAD_S")</f>
        <v>ROAD_S</v>
      </c>
      <c r="C440" t="s">
        <v>1420</v>
      </c>
      <c r="D440" t="s">
        <v>1422</v>
      </c>
      <c r="E440">
        <v>0</v>
      </c>
      <c r="F440" t="s">
        <v>1423</v>
      </c>
      <c r="G440" t="s">
        <v>1424</v>
      </c>
      <c r="H440" t="s">
        <v>1421</v>
      </c>
    </row>
    <row r="441" spans="1:8" x14ac:dyDescent="0.55000000000000004">
      <c r="A441" t="s">
        <v>6783</v>
      </c>
      <c r="B441" s="7" t="str">
        <f>HYPERLINK("[#]Feature_Schema_2!A6186:F6186","ROADSIDE_REST_AREA_P")</f>
        <v>ROADSIDE_REST_AREA_P</v>
      </c>
      <c r="C441" t="s">
        <v>6627</v>
      </c>
      <c r="D441" t="s">
        <v>1734</v>
      </c>
      <c r="E441">
        <v>0</v>
      </c>
      <c r="F441" t="s">
        <v>1735</v>
      </c>
      <c r="G441" t="s">
        <v>1736</v>
      </c>
      <c r="H441" t="s">
        <v>1737</v>
      </c>
    </row>
    <row r="442" spans="1:8" x14ac:dyDescent="0.55000000000000004">
      <c r="A442" t="s">
        <v>6767</v>
      </c>
      <c r="B442" s="7" t="str">
        <f>HYPERLINK("[#]Feature_Schema_2!A6309:F6309","ROADSIDE_REST_AREA_S")</f>
        <v>ROADSIDE_REST_AREA_S</v>
      </c>
      <c r="C442" t="s">
        <v>6627</v>
      </c>
      <c r="D442" t="s">
        <v>1734</v>
      </c>
      <c r="E442">
        <v>0</v>
      </c>
      <c r="F442" t="s">
        <v>1735</v>
      </c>
      <c r="G442" t="s">
        <v>1736</v>
      </c>
      <c r="H442" t="s">
        <v>1737</v>
      </c>
    </row>
    <row r="443" spans="1:8" x14ac:dyDescent="0.55000000000000004">
      <c r="A443" t="s">
        <v>6791</v>
      </c>
      <c r="B443" s="7" t="str">
        <f>HYPERLINK("[#]Feature_Schema_2!A6432:F6432","ROCK_FORMATION_P")</f>
        <v>ROCK_FORMATION_P</v>
      </c>
      <c r="C443" t="s">
        <v>6628</v>
      </c>
      <c r="D443" t="s">
        <v>2958</v>
      </c>
      <c r="E443">
        <v>0</v>
      </c>
      <c r="F443" t="s">
        <v>2959</v>
      </c>
      <c r="G443" t="s">
        <v>2960</v>
      </c>
      <c r="H443" t="s">
        <v>2961</v>
      </c>
    </row>
    <row r="444" spans="1:8" x14ac:dyDescent="0.55000000000000004">
      <c r="A444" t="s">
        <v>6770</v>
      </c>
      <c r="B444" s="7" t="str">
        <f>HYPERLINK("[#]Feature_Schema_2!A6482:F6482","ROCK_FORMATION_S")</f>
        <v>ROCK_FORMATION_S</v>
      </c>
      <c r="C444" t="s">
        <v>6628</v>
      </c>
      <c r="D444" t="s">
        <v>2958</v>
      </c>
      <c r="E444">
        <v>0</v>
      </c>
      <c r="F444" t="s">
        <v>2959</v>
      </c>
      <c r="G444" t="s">
        <v>2960</v>
      </c>
      <c r="H444" t="s">
        <v>2961</v>
      </c>
    </row>
    <row r="445" spans="1:8" x14ac:dyDescent="0.55000000000000004">
      <c r="A445" t="s">
        <v>6783</v>
      </c>
      <c r="B445" s="7" t="str">
        <f>HYPERLINK("[#]Feature_Schema_2!A6532:F6532","ROUNDHOUSE_P")</f>
        <v>ROUNDHOUSE_P</v>
      </c>
      <c r="C445" t="s">
        <v>6629</v>
      </c>
      <c r="D445" t="s">
        <v>1368</v>
      </c>
      <c r="E445">
        <v>0</v>
      </c>
      <c r="F445" t="s">
        <v>558</v>
      </c>
      <c r="G445" t="s">
        <v>1369</v>
      </c>
      <c r="H445" t="s">
        <v>1370</v>
      </c>
    </row>
    <row r="446" spans="1:8" x14ac:dyDescent="0.55000000000000004">
      <c r="A446" t="s">
        <v>6767</v>
      </c>
      <c r="B446" s="7" t="str">
        <f>HYPERLINK("[#]Feature_Schema_2!A6715:F6715","ROUNDHOUSE_S")</f>
        <v>ROUNDHOUSE_S</v>
      </c>
      <c r="C446" t="s">
        <v>6629</v>
      </c>
      <c r="D446" t="s">
        <v>1368</v>
      </c>
      <c r="E446">
        <v>0</v>
      </c>
      <c r="F446" t="s">
        <v>558</v>
      </c>
      <c r="G446" t="s">
        <v>1369</v>
      </c>
      <c r="H446" t="s">
        <v>1370</v>
      </c>
    </row>
    <row r="447" spans="1:8" x14ac:dyDescent="0.55000000000000004">
      <c r="A447" t="s">
        <v>6768</v>
      </c>
      <c r="B447" s="7" t="str">
        <f>HYPERLINK("[#]Feature_Schema_2!A6898:F6898","RUINS_P")</f>
        <v>RUINS_P</v>
      </c>
      <c r="C447" t="s">
        <v>6630</v>
      </c>
      <c r="D447" t="s">
        <v>1070</v>
      </c>
      <c r="E447">
        <v>0</v>
      </c>
      <c r="F447" t="s">
        <v>1071</v>
      </c>
      <c r="G447" t="s">
        <v>1072</v>
      </c>
      <c r="H447" t="s">
        <v>1073</v>
      </c>
    </row>
    <row r="448" spans="1:8" x14ac:dyDescent="0.55000000000000004">
      <c r="A448" t="s">
        <v>6769</v>
      </c>
      <c r="B448" s="7" t="str">
        <f>HYPERLINK("[#]Feature_Schema_2!A6946:F6946","RUINS_S")</f>
        <v>RUINS_S</v>
      </c>
      <c r="C448" t="s">
        <v>6630</v>
      </c>
      <c r="D448" t="s">
        <v>1070</v>
      </c>
      <c r="E448">
        <v>0</v>
      </c>
      <c r="F448" t="s">
        <v>1071</v>
      </c>
      <c r="G448" t="s">
        <v>1072</v>
      </c>
      <c r="H448" t="s">
        <v>1073</v>
      </c>
    </row>
    <row r="449" spans="1:8" x14ac:dyDescent="0.55000000000000004">
      <c r="A449" t="s">
        <v>6749</v>
      </c>
      <c r="B449" s="7" t="str">
        <f>HYPERLINK("[#]Feature_Schema_2!A6994:F6994","RUNWAY_S")</f>
        <v>RUNWAY_S</v>
      </c>
      <c r="C449" t="s">
        <v>6631</v>
      </c>
      <c r="D449" t="s">
        <v>3786</v>
      </c>
      <c r="E449">
        <v>0</v>
      </c>
      <c r="F449" t="s">
        <v>3787</v>
      </c>
      <c r="G449" t="s">
        <v>3788</v>
      </c>
      <c r="H449" t="s">
        <v>3789</v>
      </c>
    </row>
    <row r="450" spans="1:8" x14ac:dyDescent="0.55000000000000004">
      <c r="A450" t="s">
        <v>6831</v>
      </c>
      <c r="B450" s="7" t="str">
        <f>HYPERLINK("[#]Feature_Schema_2!A7203:F7203","SABKHA_AON_S")</f>
        <v>SABKHA_AON_S</v>
      </c>
      <c r="C450" t="s">
        <v>6632</v>
      </c>
    </row>
    <row r="451" spans="1:8" x14ac:dyDescent="0.55000000000000004">
      <c r="A451" t="s">
        <v>6770</v>
      </c>
      <c r="B451" s="7" t="str">
        <f>HYPERLINK("[#]Feature_Schema_2!A7243:F7243","SABKHA_S")</f>
        <v>SABKHA_S</v>
      </c>
      <c r="C451" t="s">
        <v>6633</v>
      </c>
      <c r="D451" t="s">
        <v>2620</v>
      </c>
      <c r="E451">
        <v>0</v>
      </c>
      <c r="F451" t="s">
        <v>2621</v>
      </c>
      <c r="G451" t="s">
        <v>2622</v>
      </c>
      <c r="H451" t="s">
        <v>2623</v>
      </c>
    </row>
    <row r="452" spans="1:8" x14ac:dyDescent="0.55000000000000004">
      <c r="A452" t="s">
        <v>6780</v>
      </c>
      <c r="B452" s="7" t="str">
        <f>HYPERLINK("[#]Feature_Schema_2!A7282:F7282","SALT_EVAPORATOR_P")</f>
        <v>SALT_EVAPORATOR_P</v>
      </c>
      <c r="C452" t="s">
        <v>6634</v>
      </c>
      <c r="D452" t="s">
        <v>2616</v>
      </c>
      <c r="E452">
        <v>0</v>
      </c>
      <c r="F452" t="s">
        <v>2617</v>
      </c>
      <c r="G452" t="s">
        <v>2618</v>
      </c>
      <c r="H452" t="s">
        <v>2619</v>
      </c>
    </row>
    <row r="453" spans="1:8" x14ac:dyDescent="0.55000000000000004">
      <c r="A453" t="s">
        <v>6744</v>
      </c>
      <c r="B453" s="7" t="str">
        <f>HYPERLINK("[#]Feature_Schema_2!A7339:F7339","SALT_EVAPORATOR_S")</f>
        <v>SALT_EVAPORATOR_S</v>
      </c>
      <c r="C453" t="s">
        <v>6634</v>
      </c>
      <c r="D453" t="s">
        <v>2616</v>
      </c>
      <c r="E453">
        <v>0</v>
      </c>
      <c r="F453" t="s">
        <v>2617</v>
      </c>
      <c r="G453" t="s">
        <v>2618</v>
      </c>
      <c r="H453" t="s">
        <v>2619</v>
      </c>
    </row>
    <row r="454" spans="1:8" x14ac:dyDescent="0.55000000000000004">
      <c r="A454" t="s">
        <v>6770</v>
      </c>
      <c r="B454" s="7" t="str">
        <f>HYPERLINK("[#]Feature_Schema_2!A7396:F7396","SALT_FLAT_S")</f>
        <v>SALT_FLAT_S</v>
      </c>
      <c r="C454" t="s">
        <v>6635</v>
      </c>
      <c r="D454" t="s">
        <v>2612</v>
      </c>
      <c r="E454">
        <v>0</v>
      </c>
      <c r="F454" t="s">
        <v>2613</v>
      </c>
      <c r="G454" t="s">
        <v>2614</v>
      </c>
      <c r="H454" t="s">
        <v>2615</v>
      </c>
    </row>
    <row r="455" spans="1:8" x14ac:dyDescent="0.55000000000000004">
      <c r="A455" t="s">
        <v>6770</v>
      </c>
      <c r="B455" s="7" t="str">
        <f>HYPERLINK("[#]Feature_Schema_2!A7451:F7451","SAND_DUNES_S")</f>
        <v>SAND_DUNES_S</v>
      </c>
      <c r="C455" t="s">
        <v>6636</v>
      </c>
      <c r="D455" t="s">
        <v>2966</v>
      </c>
      <c r="E455">
        <v>0</v>
      </c>
      <c r="F455" t="s">
        <v>2967</v>
      </c>
      <c r="G455" t="s">
        <v>2968</v>
      </c>
      <c r="H455" t="s">
        <v>2969</v>
      </c>
    </row>
    <row r="456" spans="1:8" x14ac:dyDescent="0.55000000000000004">
      <c r="A456" t="s">
        <v>6750</v>
      </c>
      <c r="B456" s="7" t="str">
        <f>HYPERLINK("[#]Feature_Schema_2!A7504:F7504","SCOREBOARD_P")</f>
        <v>SCOREBOARD_P</v>
      </c>
      <c r="C456" t="s">
        <v>6637</v>
      </c>
      <c r="D456" t="s">
        <v>423</v>
      </c>
      <c r="E456">
        <v>0</v>
      </c>
      <c r="F456" t="s">
        <v>424</v>
      </c>
      <c r="G456" t="s">
        <v>425</v>
      </c>
      <c r="H456" t="s">
        <v>426</v>
      </c>
    </row>
    <row r="457" spans="1:8" x14ac:dyDescent="0.55000000000000004">
      <c r="A457" t="s">
        <v>6749</v>
      </c>
      <c r="B457" s="7" t="str">
        <f>HYPERLINK("[#]Feature_Schema_2!A7573:F7573","SEAPLANE_RUN_S")</f>
        <v>SEAPLANE_RUN_S</v>
      </c>
      <c r="C457" t="s">
        <v>6638</v>
      </c>
      <c r="D457" t="s">
        <v>3814</v>
      </c>
      <c r="E457">
        <v>0</v>
      </c>
      <c r="F457" t="s">
        <v>3815</v>
      </c>
      <c r="G457" t="s">
        <v>3816</v>
      </c>
      <c r="H457" t="s">
        <v>3817</v>
      </c>
    </row>
    <row r="458" spans="1:8" x14ac:dyDescent="0.55000000000000004">
      <c r="A458" t="s">
        <v>6785</v>
      </c>
      <c r="B458" s="7" t="str">
        <f>HYPERLINK("[#]Feature_Schema_2!A7635:F7635","SETTLEMENT_P")</f>
        <v>SETTLEMENT_P</v>
      </c>
      <c r="C458" t="s">
        <v>6639</v>
      </c>
      <c r="D458" t="s">
        <v>958</v>
      </c>
      <c r="E458">
        <v>0</v>
      </c>
      <c r="F458" t="s">
        <v>959</v>
      </c>
      <c r="G458" t="s">
        <v>960</v>
      </c>
      <c r="H458" t="s">
        <v>961</v>
      </c>
    </row>
    <row r="459" spans="1:8" x14ac:dyDescent="0.55000000000000004">
      <c r="A459" t="s">
        <v>6786</v>
      </c>
      <c r="B459" s="7" t="str">
        <f>HYPERLINK("[#]Feature_Schema_2!A7729:F7729","SETTLEMENT_S")</f>
        <v>SETTLEMENT_S</v>
      </c>
      <c r="C459" t="s">
        <v>6639</v>
      </c>
      <c r="D459" t="s">
        <v>958</v>
      </c>
      <c r="E459">
        <v>0</v>
      </c>
      <c r="F459" t="s">
        <v>959</v>
      </c>
      <c r="G459" t="s">
        <v>960</v>
      </c>
      <c r="H459" t="s">
        <v>961</v>
      </c>
    </row>
    <row r="460" spans="1:8" x14ac:dyDescent="0.55000000000000004">
      <c r="A460" t="s">
        <v>6744</v>
      </c>
      <c r="B460" s="7" t="str">
        <f>HYPERLINK("[#]Feature_Schema_2!A7823:F7823","SETTLING_POND_S")</f>
        <v>SETTLING_POND_S</v>
      </c>
      <c r="C460" t="s">
        <v>6640</v>
      </c>
      <c r="D460" t="s">
        <v>84</v>
      </c>
      <c r="E460">
        <v>0</v>
      </c>
      <c r="F460" t="s">
        <v>85</v>
      </c>
      <c r="G460" t="s">
        <v>86</v>
      </c>
      <c r="H460" t="s">
        <v>87</v>
      </c>
    </row>
    <row r="461" spans="1:8" x14ac:dyDescent="0.55000000000000004">
      <c r="A461" t="s">
        <v>6745</v>
      </c>
      <c r="B461" s="7" t="str">
        <f>HYPERLINK("[#]Feature_Schema_2!A7884:F7884","SEWAGE_TREATMENT_PLANT_P")</f>
        <v>SEWAGE_TREATMENT_PLANT_P</v>
      </c>
      <c r="C461" t="s">
        <v>6641</v>
      </c>
      <c r="D461" t="s">
        <v>104</v>
      </c>
      <c r="E461">
        <v>0</v>
      </c>
      <c r="F461" t="s">
        <v>105</v>
      </c>
      <c r="G461" t="s">
        <v>106</v>
      </c>
      <c r="H461" t="s">
        <v>107</v>
      </c>
    </row>
    <row r="462" spans="1:8" x14ac:dyDescent="0.55000000000000004">
      <c r="A462" t="s">
        <v>6746</v>
      </c>
      <c r="B462" s="7" t="str">
        <f>HYPERLINK("[#]Feature_Schema_2!A8266:F8266","SEWAGE_TREATMENT_PLANT_S")</f>
        <v>SEWAGE_TREATMENT_PLANT_S</v>
      </c>
      <c r="C462" t="s">
        <v>6641</v>
      </c>
      <c r="D462" t="s">
        <v>104</v>
      </c>
      <c r="E462">
        <v>0</v>
      </c>
      <c r="F462" t="s">
        <v>105</v>
      </c>
      <c r="G462" t="s">
        <v>106</v>
      </c>
      <c r="H462" t="s">
        <v>107</v>
      </c>
    </row>
    <row r="463" spans="1:8" x14ac:dyDescent="0.55000000000000004">
      <c r="A463" t="s">
        <v>6785</v>
      </c>
      <c r="B463" s="7" t="str">
        <f>HYPERLINK("[#]Feature_Schema_2!A8648:F8648","SHANTY_TOWN_P")</f>
        <v>SHANTY_TOWN_P</v>
      </c>
      <c r="C463" t="s">
        <v>6642</v>
      </c>
      <c r="D463" t="s">
        <v>1078</v>
      </c>
      <c r="E463">
        <v>0</v>
      </c>
      <c r="F463" t="s">
        <v>1079</v>
      </c>
      <c r="G463" t="s">
        <v>1080</v>
      </c>
      <c r="H463" t="s">
        <v>1081</v>
      </c>
    </row>
    <row r="464" spans="1:8" x14ac:dyDescent="0.55000000000000004">
      <c r="A464" t="s">
        <v>6786</v>
      </c>
      <c r="B464" s="7" t="str">
        <f>HYPERLINK("[#]Feature_Schema_2!A8705:F8705","SHANTY_TOWN_S")</f>
        <v>SHANTY_TOWN_S</v>
      </c>
      <c r="C464" t="s">
        <v>6642</v>
      </c>
      <c r="D464" t="s">
        <v>1078</v>
      </c>
      <c r="E464">
        <v>0</v>
      </c>
      <c r="F464" t="s">
        <v>1079</v>
      </c>
      <c r="G464" t="s">
        <v>1080</v>
      </c>
      <c r="H464" t="s">
        <v>1081</v>
      </c>
    </row>
    <row r="465" spans="1:8" x14ac:dyDescent="0.55000000000000004">
      <c r="A465" t="s">
        <v>6783</v>
      </c>
      <c r="B465" s="7" t="str">
        <f>HYPERLINK("[#]Feature_Schema_2!A8762:F8762","SHARP_CURVE_P")</f>
        <v>SHARP_CURVE_P</v>
      </c>
      <c r="C465" t="s">
        <v>6643</v>
      </c>
      <c r="D465" t="s">
        <v>1714</v>
      </c>
      <c r="E465">
        <v>0</v>
      </c>
      <c r="F465" t="s">
        <v>1715</v>
      </c>
      <c r="G465" t="s">
        <v>1716</v>
      </c>
      <c r="H465" t="s">
        <v>1717</v>
      </c>
    </row>
    <row r="466" spans="1:8" x14ac:dyDescent="0.55000000000000004">
      <c r="A466" t="s">
        <v>6794</v>
      </c>
      <c r="B466" s="7" t="str">
        <f>HYPERLINK("[#]Feature_Schema_2!A8796:F8796","SHEAR_WALL_C")</f>
        <v>SHEAR_WALL_C</v>
      </c>
      <c r="C466" t="s">
        <v>6644</v>
      </c>
      <c r="D466" t="s">
        <v>9</v>
      </c>
      <c r="E466">
        <v>0</v>
      </c>
      <c r="F466" t="s">
        <v>10</v>
      </c>
      <c r="G466" t="s">
        <v>11</v>
      </c>
      <c r="H466" t="s">
        <v>12</v>
      </c>
    </row>
    <row r="467" spans="1:8" x14ac:dyDescent="0.55000000000000004">
      <c r="A467" t="s">
        <v>6771</v>
      </c>
      <c r="B467" s="7" t="str">
        <f>HYPERLINK("[#]Feature_Schema_2!A8835:F8835","SHED_P")</f>
        <v>SHED_P</v>
      </c>
      <c r="C467" t="s">
        <v>6645</v>
      </c>
      <c r="D467" t="s">
        <v>872</v>
      </c>
      <c r="E467">
        <v>0</v>
      </c>
      <c r="F467" t="s">
        <v>741</v>
      </c>
      <c r="G467" t="s">
        <v>873</v>
      </c>
      <c r="H467" t="s">
        <v>874</v>
      </c>
    </row>
    <row r="468" spans="1:8" x14ac:dyDescent="0.55000000000000004">
      <c r="A468" t="s">
        <v>6772</v>
      </c>
      <c r="B468" s="7" t="str">
        <f>HYPERLINK("[#]Feature_Schema_2!A9455:F9455","SHED_S")</f>
        <v>SHED_S</v>
      </c>
      <c r="C468" t="s">
        <v>6645</v>
      </c>
      <c r="D468" t="s">
        <v>872</v>
      </c>
      <c r="E468">
        <v>0</v>
      </c>
      <c r="F468" t="s">
        <v>741</v>
      </c>
      <c r="G468" t="s">
        <v>873</v>
      </c>
      <c r="H468" t="s">
        <v>874</v>
      </c>
    </row>
    <row r="469" spans="1:8" x14ac:dyDescent="0.55000000000000004">
      <c r="A469" t="s">
        <v>6775</v>
      </c>
      <c r="B469" s="7" t="str">
        <f>HYPERLINK("[#]Feature_Schema_2!A10075:F10075","SHIP_ELEVATOR_C")</f>
        <v>SHIP_ELEVATOR_C</v>
      </c>
      <c r="C469" t="s">
        <v>6646</v>
      </c>
      <c r="D469" t="s">
        <v>2695</v>
      </c>
      <c r="E469">
        <v>0</v>
      </c>
      <c r="F469" t="s">
        <v>2696</v>
      </c>
      <c r="G469" t="s">
        <v>2697</v>
      </c>
      <c r="H469" t="s">
        <v>2698</v>
      </c>
    </row>
    <row r="470" spans="1:8" x14ac:dyDescent="0.55000000000000004">
      <c r="A470" t="s">
        <v>6776</v>
      </c>
      <c r="B470" s="7" t="str">
        <f>HYPERLINK("[#]Feature_Schema_2!A10172:F10172","SHIP_ELEVATOR_P")</f>
        <v>SHIP_ELEVATOR_P</v>
      </c>
      <c r="C470" t="s">
        <v>6646</v>
      </c>
      <c r="D470" t="s">
        <v>2695</v>
      </c>
      <c r="E470">
        <v>0</v>
      </c>
      <c r="F470" t="s">
        <v>2696</v>
      </c>
      <c r="G470" t="s">
        <v>2697</v>
      </c>
      <c r="H470" t="s">
        <v>2698</v>
      </c>
    </row>
    <row r="471" spans="1:8" x14ac:dyDescent="0.55000000000000004">
      <c r="A471" t="s">
        <v>6809</v>
      </c>
      <c r="B471" s="7" t="str">
        <f>HYPERLINK("[#]Feature_Schema_2!A10269:F10269","SHIP_ELEVATOR_S")</f>
        <v>SHIP_ELEVATOR_S</v>
      </c>
      <c r="C471" t="s">
        <v>6646</v>
      </c>
      <c r="D471" t="s">
        <v>2695</v>
      </c>
      <c r="E471">
        <v>0</v>
      </c>
      <c r="F471" t="s">
        <v>2696</v>
      </c>
      <c r="G471" t="s">
        <v>2697</v>
      </c>
      <c r="H471" t="s">
        <v>2698</v>
      </c>
    </row>
    <row r="472" spans="1:8" x14ac:dyDescent="0.55000000000000004">
      <c r="A472" t="s">
        <v>6810</v>
      </c>
      <c r="B472" s="7" t="str">
        <f>HYPERLINK("[#]Feature_Schema_2!A10366:F10366","SHIPPING_CONTAINER_P")</f>
        <v>SHIPPING_CONTAINER_P</v>
      </c>
      <c r="C472" t="s">
        <v>6647</v>
      </c>
      <c r="D472" t="s">
        <v>1190</v>
      </c>
      <c r="E472">
        <v>0</v>
      </c>
      <c r="F472" t="s">
        <v>1191</v>
      </c>
      <c r="G472" t="s">
        <v>1192</v>
      </c>
      <c r="H472" t="s">
        <v>1193</v>
      </c>
    </row>
    <row r="473" spans="1:8" x14ac:dyDescent="0.55000000000000004">
      <c r="A473" t="s">
        <v>6811</v>
      </c>
      <c r="B473" s="7" t="str">
        <f>HYPERLINK("[#]Feature_Schema_2!A10541:F10541","SHIPPING_CONTAINER_S")</f>
        <v>SHIPPING_CONTAINER_S</v>
      </c>
      <c r="C473" t="s">
        <v>6647</v>
      </c>
      <c r="D473" t="s">
        <v>1190</v>
      </c>
      <c r="E473">
        <v>0</v>
      </c>
      <c r="F473" t="s">
        <v>1191</v>
      </c>
      <c r="G473" t="s">
        <v>1192</v>
      </c>
      <c r="H473" t="s">
        <v>1193</v>
      </c>
    </row>
    <row r="474" spans="1:8" x14ac:dyDescent="0.55000000000000004">
      <c r="A474" t="s">
        <v>6829</v>
      </c>
      <c r="B474" s="7" t="str">
        <f>HYPERLINK("[#]Feature_Schema_2!A10716:F10716","SHIPYARD_P")</f>
        <v>SHIPYARD_P</v>
      </c>
      <c r="C474" t="s">
        <v>6648</v>
      </c>
      <c r="D474" t="s">
        <v>2132</v>
      </c>
      <c r="E474">
        <v>0</v>
      </c>
      <c r="F474" t="s">
        <v>777</v>
      </c>
      <c r="G474" t="s">
        <v>2133</v>
      </c>
      <c r="H474" t="s">
        <v>2134</v>
      </c>
    </row>
    <row r="475" spans="1:8" x14ac:dyDescent="0.55000000000000004">
      <c r="A475" t="s">
        <v>6803</v>
      </c>
      <c r="B475" s="7" t="str">
        <f>HYPERLINK("[#]Feature_Schema_2!A10836:F10836","SHIPYARD_S")</f>
        <v>SHIPYARD_S</v>
      </c>
      <c r="C475" t="s">
        <v>6648</v>
      </c>
      <c r="D475" t="s">
        <v>2132</v>
      </c>
      <c r="E475">
        <v>0</v>
      </c>
      <c r="F475" t="s">
        <v>777</v>
      </c>
      <c r="G475" t="s">
        <v>2133</v>
      </c>
      <c r="H475" t="s">
        <v>2134</v>
      </c>
    </row>
    <row r="476" spans="1:8" x14ac:dyDescent="0.55000000000000004">
      <c r="A476" t="s">
        <v>6807</v>
      </c>
      <c r="B476" s="7" t="str">
        <f>HYPERLINK("[#]Feature_Schema_2!A10956:F10956","SHOPPING_COMPLEX_S")</f>
        <v>SHOPPING_COMPLEX_S</v>
      </c>
      <c r="C476" t="s">
        <v>6649</v>
      </c>
      <c r="D476" t="s">
        <v>213</v>
      </c>
      <c r="E476">
        <v>0</v>
      </c>
      <c r="F476" t="s">
        <v>214</v>
      </c>
      <c r="G476" t="s">
        <v>215</v>
      </c>
      <c r="H476" t="s">
        <v>216</v>
      </c>
    </row>
    <row r="477" spans="1:8" x14ac:dyDescent="0.55000000000000004">
      <c r="A477" t="s">
        <v>6777</v>
      </c>
      <c r="B477" s="7" t="str">
        <f>HYPERLINK("[#]Feature_Schema_2!A11248:F11248","SHORELINE_C")</f>
        <v>SHORELINE_C</v>
      </c>
      <c r="C477" t="s">
        <v>6650</v>
      </c>
      <c r="D477" t="s">
        <v>1875</v>
      </c>
      <c r="E477">
        <v>0</v>
      </c>
      <c r="F477" t="s">
        <v>1876</v>
      </c>
      <c r="G477" t="s">
        <v>1877</v>
      </c>
      <c r="H477" t="s">
        <v>1878</v>
      </c>
    </row>
    <row r="478" spans="1:8" x14ac:dyDescent="0.55000000000000004">
      <c r="A478" t="s">
        <v>6832</v>
      </c>
      <c r="B478" s="7" t="str">
        <f>HYPERLINK("[#]Feature_Schema_2!A11293:F11293","SHORELINE_CONSTRUCTION_C")</f>
        <v>SHORELINE_CONSTRUCTION_C</v>
      </c>
      <c r="C478" t="s">
        <v>6651</v>
      </c>
      <c r="D478" t="s">
        <v>1990</v>
      </c>
      <c r="E478">
        <v>0</v>
      </c>
      <c r="F478" t="s">
        <v>1991</v>
      </c>
      <c r="G478" t="s">
        <v>1992</v>
      </c>
      <c r="H478" t="s">
        <v>1993</v>
      </c>
    </row>
    <row r="479" spans="1:8" x14ac:dyDescent="0.55000000000000004">
      <c r="A479" t="s">
        <v>6803</v>
      </c>
      <c r="B479" s="7" t="str">
        <f>HYPERLINK("[#]Feature_Schema_2!A11469:F11469","SHORELINE_CONSTRUCTION_S")</f>
        <v>SHORELINE_CONSTRUCTION_S</v>
      </c>
      <c r="C479" t="s">
        <v>6651</v>
      </c>
      <c r="D479" t="s">
        <v>1990</v>
      </c>
      <c r="E479">
        <v>0</v>
      </c>
      <c r="F479" t="s">
        <v>1991</v>
      </c>
      <c r="G479" t="s">
        <v>1992</v>
      </c>
      <c r="H479" t="s">
        <v>1993</v>
      </c>
    </row>
    <row r="480" spans="1:8" x14ac:dyDescent="0.55000000000000004">
      <c r="A480" t="s">
        <v>6832</v>
      </c>
      <c r="B480" s="7" t="str">
        <f>HYPERLINK("[#]Feature_Schema_2!A11645:F11645","SHORELINE_RAMP_C")</f>
        <v>SHORELINE_RAMP_C</v>
      </c>
      <c r="C480" t="s">
        <v>6652</v>
      </c>
      <c r="D480" t="s">
        <v>1994</v>
      </c>
      <c r="E480">
        <v>0</v>
      </c>
      <c r="F480" t="s">
        <v>1995</v>
      </c>
      <c r="G480" t="s">
        <v>1996</v>
      </c>
      <c r="H480" t="s">
        <v>1997</v>
      </c>
    </row>
    <row r="481" spans="1:8" x14ac:dyDescent="0.55000000000000004">
      <c r="A481" t="s">
        <v>6803</v>
      </c>
      <c r="B481" s="7" t="str">
        <f>HYPERLINK("[#]Feature_Schema_2!A11749:F11749","SHORELINE_RAMP_S")</f>
        <v>SHORELINE_RAMP_S</v>
      </c>
      <c r="C481" t="s">
        <v>6652</v>
      </c>
      <c r="D481" t="s">
        <v>1994</v>
      </c>
      <c r="E481">
        <v>0</v>
      </c>
      <c r="F481" t="s">
        <v>1995</v>
      </c>
      <c r="G481" t="s">
        <v>1996</v>
      </c>
      <c r="H481" t="s">
        <v>1997</v>
      </c>
    </row>
    <row r="482" spans="1:8" x14ac:dyDescent="0.55000000000000004">
      <c r="A482" t="s">
        <v>6766</v>
      </c>
      <c r="B482" s="7" t="str">
        <f>HYPERLINK("[#]Feature_Schema_2!A11853:F11853","SIDEWALK_C")</f>
        <v>SIDEWALK_C</v>
      </c>
      <c r="C482" t="s">
        <v>6653</v>
      </c>
      <c r="D482" t="s">
        <v>1522</v>
      </c>
      <c r="E482">
        <v>0</v>
      </c>
      <c r="F482" t="s">
        <v>1523</v>
      </c>
      <c r="G482" t="s">
        <v>1524</v>
      </c>
      <c r="H482" t="s">
        <v>1525</v>
      </c>
    </row>
    <row r="483" spans="1:8" x14ac:dyDescent="0.55000000000000004">
      <c r="A483" t="s">
        <v>6752</v>
      </c>
      <c r="B483" s="7" t="str">
        <f>HYPERLINK("[#]Feature_Schema_2!A11948:F11948","SKI_JUMP_C")</f>
        <v>SKI_JUMP_C</v>
      </c>
      <c r="C483" t="s">
        <v>6654</v>
      </c>
      <c r="D483" t="s">
        <v>411</v>
      </c>
      <c r="E483">
        <v>0</v>
      </c>
      <c r="F483" t="s">
        <v>412</v>
      </c>
      <c r="G483" t="s">
        <v>413</v>
      </c>
      <c r="H483" t="s">
        <v>414</v>
      </c>
    </row>
    <row r="484" spans="1:8" x14ac:dyDescent="0.55000000000000004">
      <c r="A484" t="s">
        <v>6750</v>
      </c>
      <c r="B484" s="7" t="str">
        <f>HYPERLINK("[#]Feature_Schema_2!A12017:F12017","SKI_JUMP_P")</f>
        <v>SKI_JUMP_P</v>
      </c>
      <c r="C484" t="s">
        <v>6654</v>
      </c>
      <c r="D484" t="s">
        <v>411</v>
      </c>
      <c r="E484">
        <v>0</v>
      </c>
      <c r="F484" t="s">
        <v>412</v>
      </c>
      <c r="G484" t="s">
        <v>413</v>
      </c>
      <c r="H484" t="s">
        <v>414</v>
      </c>
    </row>
    <row r="485" spans="1:8" x14ac:dyDescent="0.55000000000000004">
      <c r="A485" t="s">
        <v>6752</v>
      </c>
      <c r="B485" s="7" t="str">
        <f>HYPERLINK("[#]Feature_Schema_2!A12086:F12086","SKI_RUN_C")</f>
        <v>SKI_RUN_C</v>
      </c>
      <c r="C485" t="s">
        <v>6655</v>
      </c>
      <c r="D485" t="s">
        <v>415</v>
      </c>
      <c r="E485">
        <v>0</v>
      </c>
      <c r="F485" t="s">
        <v>416</v>
      </c>
      <c r="G485" t="s">
        <v>417</v>
      </c>
      <c r="H485" t="s">
        <v>418</v>
      </c>
    </row>
    <row r="486" spans="1:8" x14ac:dyDescent="0.55000000000000004">
      <c r="A486" t="s">
        <v>6751</v>
      </c>
      <c r="B486" s="7" t="str">
        <f>HYPERLINK("[#]Feature_Schema_2!A12143:F12143","SKI_RUN_S")</f>
        <v>SKI_RUN_S</v>
      </c>
      <c r="C486" t="s">
        <v>6655</v>
      </c>
      <c r="D486" t="s">
        <v>415</v>
      </c>
      <c r="E486">
        <v>0</v>
      </c>
      <c r="F486" t="s">
        <v>416</v>
      </c>
      <c r="G486" t="s">
        <v>417</v>
      </c>
      <c r="H486" t="s">
        <v>418</v>
      </c>
    </row>
    <row r="487" spans="1:8" x14ac:dyDescent="0.55000000000000004">
      <c r="A487" t="s">
        <v>6778</v>
      </c>
      <c r="B487" s="7" t="str">
        <f>HYPERLINK("[#]Feature_Schema_2!A12200:F12200","SLOPE_REGION_S")</f>
        <v>SLOPE_REGION_S</v>
      </c>
      <c r="C487" t="s">
        <v>6656</v>
      </c>
      <c r="D487" t="s">
        <v>4321</v>
      </c>
      <c r="E487">
        <v>0</v>
      </c>
      <c r="F487" t="s">
        <v>4322</v>
      </c>
      <c r="G487" t="s">
        <v>4323</v>
      </c>
      <c r="H487" t="s">
        <v>4324</v>
      </c>
    </row>
    <row r="488" spans="1:8" x14ac:dyDescent="0.55000000000000004">
      <c r="A488" t="s">
        <v>6763</v>
      </c>
      <c r="B488" s="7" t="str">
        <f>HYPERLINK("[#]Feature_Schema_2!A12234:F12234","SLUICE_GATE_C")</f>
        <v>SLUICE_GATE_C</v>
      </c>
      <c r="C488" t="s">
        <v>6657</v>
      </c>
      <c r="D488" t="s">
        <v>2727</v>
      </c>
      <c r="E488">
        <v>0</v>
      </c>
      <c r="F488" t="s">
        <v>2728</v>
      </c>
      <c r="G488" t="s">
        <v>2729</v>
      </c>
      <c r="H488" t="s">
        <v>2730</v>
      </c>
    </row>
    <row r="489" spans="1:8" x14ac:dyDescent="0.55000000000000004">
      <c r="A489" t="s">
        <v>6792</v>
      </c>
      <c r="B489" s="7" t="str">
        <f>HYPERLINK("[#]Feature_Schema_2!A12315:F12315","SLUICE_GATE_P")</f>
        <v>SLUICE_GATE_P</v>
      </c>
      <c r="C489" t="s">
        <v>6657</v>
      </c>
      <c r="D489" t="s">
        <v>2727</v>
      </c>
      <c r="E489">
        <v>0</v>
      </c>
      <c r="F489" t="s">
        <v>2728</v>
      </c>
      <c r="G489" t="s">
        <v>2729</v>
      </c>
      <c r="H489" t="s">
        <v>2730</v>
      </c>
    </row>
    <row r="490" spans="1:8" x14ac:dyDescent="0.55000000000000004">
      <c r="A490" t="s">
        <v>6829</v>
      </c>
      <c r="B490" s="7" t="str">
        <f>HYPERLINK("[#]Feature_Schema_2!A12396:F12396","SMALL_CRAFT_FACILITY_P")</f>
        <v>SMALL_CRAFT_FACILITY_P</v>
      </c>
      <c r="C490" t="s">
        <v>6658</v>
      </c>
      <c r="D490" t="s">
        <v>2101</v>
      </c>
      <c r="E490">
        <v>0</v>
      </c>
      <c r="F490" t="s">
        <v>2102</v>
      </c>
      <c r="G490" t="s">
        <v>2103</v>
      </c>
      <c r="H490" t="s">
        <v>2104</v>
      </c>
    </row>
    <row r="491" spans="1:8" x14ac:dyDescent="0.55000000000000004">
      <c r="A491" t="s">
        <v>6803</v>
      </c>
      <c r="B491" s="7" t="str">
        <f>HYPERLINK("[#]Feature_Schema_2!A12532:F12532","SMALL_CRAFT_FACILITY_S")</f>
        <v>SMALL_CRAFT_FACILITY_S</v>
      </c>
      <c r="C491" t="s">
        <v>6658</v>
      </c>
      <c r="D491" t="s">
        <v>2101</v>
      </c>
      <c r="E491">
        <v>0</v>
      </c>
      <c r="F491" t="s">
        <v>2102</v>
      </c>
      <c r="G491" t="s">
        <v>2103</v>
      </c>
      <c r="H491" t="s">
        <v>2104</v>
      </c>
    </row>
    <row r="492" spans="1:8" x14ac:dyDescent="0.55000000000000004">
      <c r="A492" t="s">
        <v>6745</v>
      </c>
      <c r="B492" s="7" t="str">
        <f>HYPERLINK("[#]Feature_Schema_2!A12668:F12668","SMOKESTACK_P")</f>
        <v>SMOKESTACK_P</v>
      </c>
      <c r="C492" t="s">
        <v>6659</v>
      </c>
      <c r="D492" t="s">
        <v>173</v>
      </c>
      <c r="E492">
        <v>0</v>
      </c>
      <c r="F492" t="s">
        <v>174</v>
      </c>
      <c r="G492" t="s">
        <v>175</v>
      </c>
      <c r="H492" t="s">
        <v>176</v>
      </c>
    </row>
    <row r="493" spans="1:8" x14ac:dyDescent="0.55000000000000004">
      <c r="A493" t="s">
        <v>6792</v>
      </c>
      <c r="B493" s="7" t="str">
        <f>HYPERLINK("[#]Feature_Schema_2!A12769:F12769","SNAG_P")</f>
        <v>SNAG_P</v>
      </c>
      <c r="C493" t="s">
        <v>6660</v>
      </c>
      <c r="D493" t="s">
        <v>2389</v>
      </c>
      <c r="E493">
        <v>0</v>
      </c>
      <c r="F493" t="s">
        <v>2390</v>
      </c>
      <c r="G493" t="s">
        <v>2391</v>
      </c>
      <c r="H493" t="s">
        <v>2392</v>
      </c>
    </row>
    <row r="494" spans="1:8" x14ac:dyDescent="0.55000000000000004">
      <c r="A494" t="s">
        <v>6764</v>
      </c>
      <c r="B494" s="7" t="str">
        <f>HYPERLINK("[#]Feature_Schema_2!A12807:F12807","SNAG_S")</f>
        <v>SNAG_S</v>
      </c>
      <c r="C494" t="s">
        <v>6660</v>
      </c>
      <c r="D494" t="s">
        <v>2389</v>
      </c>
      <c r="E494">
        <v>0</v>
      </c>
      <c r="F494" t="s">
        <v>2390</v>
      </c>
      <c r="G494" t="s">
        <v>2391</v>
      </c>
      <c r="H494" t="s">
        <v>2392</v>
      </c>
    </row>
    <row r="495" spans="1:8" x14ac:dyDescent="0.55000000000000004">
      <c r="A495" t="s">
        <v>6770</v>
      </c>
      <c r="B495" s="7" t="str">
        <f>HYPERLINK("[#]Feature_Schema_2!A12845:F12845","SNOW_ICE_FIELD_S")</f>
        <v>SNOW_ICE_FIELD_S</v>
      </c>
      <c r="C495" t="s">
        <v>6661</v>
      </c>
      <c r="D495" t="s">
        <v>2802</v>
      </c>
      <c r="E495">
        <v>0</v>
      </c>
      <c r="F495" t="s">
        <v>2803</v>
      </c>
      <c r="G495" t="s">
        <v>2804</v>
      </c>
      <c r="H495" t="s">
        <v>2805</v>
      </c>
    </row>
    <row r="496" spans="1:8" x14ac:dyDescent="0.55000000000000004">
      <c r="A496" t="s">
        <v>6770</v>
      </c>
      <c r="B496" s="7" t="str">
        <f>HYPERLINK("[#]Feature_Schema_2!A12914:F12914","SOIL_SURFACE_REGION_S")</f>
        <v>SOIL_SURFACE_REGION_S</v>
      </c>
      <c r="C496" t="s">
        <v>6662</v>
      </c>
      <c r="D496" t="s">
        <v>2876</v>
      </c>
      <c r="E496">
        <v>0</v>
      </c>
      <c r="F496" t="s">
        <v>2877</v>
      </c>
      <c r="G496" t="s">
        <v>2878</v>
      </c>
      <c r="H496" t="s">
        <v>2879</v>
      </c>
    </row>
    <row r="497" spans="1:8" x14ac:dyDescent="0.55000000000000004">
      <c r="A497" t="s">
        <v>6745</v>
      </c>
      <c r="B497" s="7" t="str">
        <f>HYPERLINK("[#]Feature_Schema_2!A13084:F13084","SOLAR_FARM_P")</f>
        <v>SOLAR_FARM_P</v>
      </c>
      <c r="C497" t="s">
        <v>6663</v>
      </c>
      <c r="D497" t="s">
        <v>141</v>
      </c>
      <c r="E497">
        <v>0</v>
      </c>
      <c r="F497" t="s">
        <v>142</v>
      </c>
      <c r="G497" t="s">
        <v>143</v>
      </c>
      <c r="H497" t="s">
        <v>144</v>
      </c>
    </row>
    <row r="498" spans="1:8" x14ac:dyDescent="0.55000000000000004">
      <c r="A498" t="s">
        <v>6746</v>
      </c>
      <c r="B498" s="7" t="str">
        <f>HYPERLINK("[#]Feature_Schema_2!A13196:F13196","SOLAR_FARM_S")</f>
        <v>SOLAR_FARM_S</v>
      </c>
      <c r="C498" t="s">
        <v>6663</v>
      </c>
      <c r="D498" t="s">
        <v>141</v>
      </c>
      <c r="E498">
        <v>0</v>
      </c>
      <c r="F498" t="s">
        <v>142</v>
      </c>
      <c r="G498" t="s">
        <v>143</v>
      </c>
      <c r="H498" t="s">
        <v>144</v>
      </c>
    </row>
    <row r="499" spans="1:8" x14ac:dyDescent="0.55000000000000004">
      <c r="A499" t="s">
        <v>6745</v>
      </c>
      <c r="B499" s="7" t="str">
        <f>HYPERLINK("[#]Feature_Schema_2!A13308:F13308","SOLAR_PANEL_P")</f>
        <v>SOLAR_PANEL_P</v>
      </c>
      <c r="C499" t="s">
        <v>6664</v>
      </c>
      <c r="D499" t="s">
        <v>137</v>
      </c>
      <c r="E499">
        <v>0</v>
      </c>
      <c r="F499" t="s">
        <v>138</v>
      </c>
      <c r="G499" t="s">
        <v>139</v>
      </c>
      <c r="H499" t="s">
        <v>140</v>
      </c>
    </row>
    <row r="500" spans="1:8" x14ac:dyDescent="0.55000000000000004">
      <c r="A500" t="s">
        <v>6746</v>
      </c>
      <c r="B500" s="7" t="str">
        <f>HYPERLINK("[#]Feature_Schema_2!A13381:F13381","SOLAR_PANEL_S")</f>
        <v>SOLAR_PANEL_S</v>
      </c>
      <c r="C500" t="s">
        <v>6664</v>
      </c>
      <c r="D500" t="s">
        <v>137</v>
      </c>
      <c r="E500">
        <v>0</v>
      </c>
      <c r="F500" t="s">
        <v>138</v>
      </c>
      <c r="G500" t="s">
        <v>139</v>
      </c>
      <c r="H500" t="s">
        <v>140</v>
      </c>
    </row>
    <row r="501" spans="1:8" x14ac:dyDescent="0.55000000000000004">
      <c r="A501" t="s">
        <v>6760</v>
      </c>
      <c r="B501" s="7" t="str">
        <f>HYPERLINK("[#]Feature_Schema_2!A13454:F13454","SOUNDING_P")</f>
        <v>SOUNDING_P</v>
      </c>
      <c r="C501" t="s">
        <v>6665</v>
      </c>
      <c r="D501" t="s">
        <v>2417</v>
      </c>
      <c r="E501">
        <v>0</v>
      </c>
      <c r="F501" t="s">
        <v>2418</v>
      </c>
      <c r="G501" t="s">
        <v>2419</v>
      </c>
      <c r="H501" t="s">
        <v>2420</v>
      </c>
    </row>
    <row r="502" spans="1:8" x14ac:dyDescent="0.55000000000000004">
      <c r="A502" t="s">
        <v>6748</v>
      </c>
      <c r="B502" s="7" t="str">
        <f>HYPERLINK("[#]Feature_Schema_2!A13597:F13597","SPACE_FACILITY_P")</f>
        <v>SPACE_FACILITY_P</v>
      </c>
      <c r="C502" t="s">
        <v>6666</v>
      </c>
      <c r="D502" t="s">
        <v>1171</v>
      </c>
      <c r="E502">
        <v>0</v>
      </c>
      <c r="F502" t="s">
        <v>1172</v>
      </c>
      <c r="G502" t="s">
        <v>1173</v>
      </c>
      <c r="H502" t="s">
        <v>1174</v>
      </c>
    </row>
    <row r="503" spans="1:8" x14ac:dyDescent="0.55000000000000004">
      <c r="A503" t="s">
        <v>6749</v>
      </c>
      <c r="B503" s="7" t="str">
        <f>HYPERLINK("[#]Feature_Schema_2!A13700:F13700","SPACE_FACILITY_S")</f>
        <v>SPACE_FACILITY_S</v>
      </c>
      <c r="C503" t="s">
        <v>6666</v>
      </c>
      <c r="D503" t="s">
        <v>1171</v>
      </c>
      <c r="E503">
        <v>0</v>
      </c>
      <c r="F503" t="s">
        <v>1172</v>
      </c>
      <c r="G503" t="s">
        <v>1173</v>
      </c>
      <c r="H503" t="s">
        <v>1174</v>
      </c>
    </row>
    <row r="504" spans="1:8" x14ac:dyDescent="0.55000000000000004">
      <c r="A504" t="s">
        <v>6763</v>
      </c>
      <c r="B504" s="7" t="str">
        <f>HYPERLINK("[#]Feature_Schema_2!A13803:F13803","SPILLWAY_C")</f>
        <v>SPILLWAY_C</v>
      </c>
      <c r="C504" t="s">
        <v>6667</v>
      </c>
      <c r="D504" t="s">
        <v>2624</v>
      </c>
      <c r="E504">
        <v>0</v>
      </c>
      <c r="F504" t="s">
        <v>2625</v>
      </c>
      <c r="G504" t="s">
        <v>2626</v>
      </c>
      <c r="H504" t="s">
        <v>2627</v>
      </c>
    </row>
    <row r="505" spans="1:8" x14ac:dyDescent="0.55000000000000004">
      <c r="A505" t="s">
        <v>6764</v>
      </c>
      <c r="B505" s="7" t="str">
        <f>HYPERLINK("[#]Feature_Schema_2!A13892:F13892","SPILLWAY_S")</f>
        <v>SPILLWAY_S</v>
      </c>
      <c r="C505" t="s">
        <v>6667</v>
      </c>
      <c r="D505" t="s">
        <v>2624</v>
      </c>
      <c r="E505">
        <v>0</v>
      </c>
      <c r="F505" t="s">
        <v>2625</v>
      </c>
      <c r="G505" t="s">
        <v>2626</v>
      </c>
      <c r="H505" t="s">
        <v>2627</v>
      </c>
    </row>
    <row r="506" spans="1:8" x14ac:dyDescent="0.55000000000000004">
      <c r="A506" t="s">
        <v>6750</v>
      </c>
      <c r="B506" s="7" t="str">
        <f>HYPERLINK("[#]Feature_Schema_2!A13981:F13981","SPORTS_GROUND_P")</f>
        <v>SPORTS_GROUND_P</v>
      </c>
      <c r="C506" t="s">
        <v>6668</v>
      </c>
      <c r="D506" t="s">
        <v>331</v>
      </c>
      <c r="E506">
        <v>0</v>
      </c>
      <c r="F506" t="s">
        <v>332</v>
      </c>
      <c r="G506" t="s">
        <v>333</v>
      </c>
      <c r="H506" t="s">
        <v>334</v>
      </c>
    </row>
    <row r="507" spans="1:8" x14ac:dyDescent="0.55000000000000004">
      <c r="A507" t="s">
        <v>6751</v>
      </c>
      <c r="B507" s="7" t="str">
        <f>HYPERLINK("[#]Feature_Schema_2!A14038:F14038","SPORTS_GROUND_S")</f>
        <v>SPORTS_GROUND_S</v>
      </c>
      <c r="C507" t="s">
        <v>6668</v>
      </c>
      <c r="D507" t="s">
        <v>331</v>
      </c>
      <c r="E507">
        <v>0</v>
      </c>
      <c r="F507" t="s">
        <v>332</v>
      </c>
      <c r="G507" t="s">
        <v>333</v>
      </c>
      <c r="H507" t="s">
        <v>334</v>
      </c>
    </row>
    <row r="508" spans="1:8" x14ac:dyDescent="0.55000000000000004">
      <c r="A508" t="s">
        <v>6833</v>
      </c>
      <c r="B508" s="7" t="str">
        <f>HYPERLINK("[#]Feature_Schema_2!A14095:F14095","SPOT_ELEVATION_P")</f>
        <v>SPOT_ELEVATION_P</v>
      </c>
      <c r="C508" t="s">
        <v>6669</v>
      </c>
      <c r="D508" t="s">
        <v>2842</v>
      </c>
      <c r="E508">
        <v>0</v>
      </c>
      <c r="F508" t="s">
        <v>2843</v>
      </c>
      <c r="G508" t="s">
        <v>2844</v>
      </c>
      <c r="H508" t="s">
        <v>2845</v>
      </c>
    </row>
    <row r="509" spans="1:8" x14ac:dyDescent="0.55000000000000004">
      <c r="A509" t="s">
        <v>6773</v>
      </c>
      <c r="B509" s="7" t="str">
        <f>HYPERLINK("[#]Feature_Schema_2!A14136:F14136","STABLE_P")</f>
        <v>STABLE_P</v>
      </c>
      <c r="C509" t="s">
        <v>6670</v>
      </c>
      <c r="D509" t="s">
        <v>289</v>
      </c>
      <c r="E509">
        <v>0</v>
      </c>
      <c r="F509" t="s">
        <v>290</v>
      </c>
      <c r="G509" t="s">
        <v>291</v>
      </c>
      <c r="H509" t="s">
        <v>292</v>
      </c>
    </row>
    <row r="510" spans="1:8" x14ac:dyDescent="0.55000000000000004">
      <c r="A510" t="s">
        <v>6774</v>
      </c>
      <c r="B510" s="7" t="str">
        <f>HYPERLINK("[#]Feature_Schema_2!A14308:F14308","STABLE_S")</f>
        <v>STABLE_S</v>
      </c>
      <c r="C510" t="s">
        <v>6670</v>
      </c>
      <c r="D510" t="s">
        <v>289</v>
      </c>
      <c r="E510">
        <v>0</v>
      </c>
      <c r="F510" t="s">
        <v>290</v>
      </c>
      <c r="G510" t="s">
        <v>291</v>
      </c>
      <c r="H510" t="s">
        <v>292</v>
      </c>
    </row>
    <row r="511" spans="1:8" x14ac:dyDescent="0.55000000000000004">
      <c r="A511" t="s">
        <v>6750</v>
      </c>
      <c r="B511" s="7" t="str">
        <f>HYPERLINK("[#]Feature_Schema_2!A14480:F14480","STADIUM_P")</f>
        <v>STADIUM_P</v>
      </c>
      <c r="C511" t="s">
        <v>6671</v>
      </c>
      <c r="D511" t="s">
        <v>419</v>
      </c>
      <c r="E511">
        <v>0</v>
      </c>
      <c r="F511" t="s">
        <v>420</v>
      </c>
      <c r="G511" t="s">
        <v>421</v>
      </c>
      <c r="H511" t="s">
        <v>422</v>
      </c>
    </row>
    <row r="512" spans="1:8" x14ac:dyDescent="0.55000000000000004">
      <c r="A512" t="s">
        <v>6751</v>
      </c>
      <c r="B512" s="7" t="str">
        <f>HYPERLINK("[#]Feature_Schema_2!A14625:F14625","STADIUM_S")</f>
        <v>STADIUM_S</v>
      </c>
      <c r="C512" t="s">
        <v>6671</v>
      </c>
      <c r="D512" t="s">
        <v>419</v>
      </c>
      <c r="E512">
        <v>0</v>
      </c>
      <c r="F512" t="s">
        <v>420</v>
      </c>
      <c r="G512" t="s">
        <v>421</v>
      </c>
      <c r="H512" t="s">
        <v>422</v>
      </c>
    </row>
    <row r="513" spans="1:8" x14ac:dyDescent="0.55000000000000004">
      <c r="A513" t="s">
        <v>6784</v>
      </c>
      <c r="B513" s="7" t="str">
        <f>HYPERLINK("[#]Feature_Schema_2!A14770:F14770","STAIR_C")</f>
        <v>STAIR_C</v>
      </c>
      <c r="C513" t="s">
        <v>6672</v>
      </c>
      <c r="D513" t="s">
        <v>1746</v>
      </c>
      <c r="E513">
        <v>0</v>
      </c>
      <c r="F513" t="s">
        <v>1747</v>
      </c>
      <c r="G513" t="s">
        <v>1748</v>
      </c>
      <c r="H513" t="s">
        <v>1749</v>
      </c>
    </row>
    <row r="514" spans="1:8" x14ac:dyDescent="0.55000000000000004">
      <c r="A514" t="s">
        <v>6772</v>
      </c>
      <c r="B514" s="7" t="str">
        <f>HYPERLINK("[#]Feature_Schema_2!A14825:F14825","STAIR_S")</f>
        <v>STAIR_S</v>
      </c>
      <c r="C514" t="s">
        <v>6672</v>
      </c>
      <c r="D514" t="s">
        <v>1746</v>
      </c>
      <c r="E514">
        <v>0</v>
      </c>
      <c r="F514" t="s">
        <v>1747</v>
      </c>
      <c r="G514" t="s">
        <v>1748</v>
      </c>
      <c r="H514" t="s">
        <v>1749</v>
      </c>
    </row>
    <row r="515" spans="1:8" x14ac:dyDescent="0.55000000000000004">
      <c r="A515" t="s">
        <v>6830</v>
      </c>
      <c r="B515" s="7" t="str">
        <f>HYPERLINK("[#]Feature_Schema_2!A14880:F14880","STANDPIPE_P")</f>
        <v>STANDPIPE_P</v>
      </c>
      <c r="C515" t="s">
        <v>6673</v>
      </c>
    </row>
    <row r="516" spans="1:8" x14ac:dyDescent="0.55000000000000004">
      <c r="A516" t="s">
        <v>6766</v>
      </c>
      <c r="B516" s="7" t="str">
        <f>HYPERLINK("[#]Feature_Schema_2!A14996:F14996","STEEP_GRADE_C")</f>
        <v>STEEP_GRADE_C</v>
      </c>
      <c r="C516" t="s">
        <v>6674</v>
      </c>
      <c r="D516" t="s">
        <v>1722</v>
      </c>
      <c r="E516">
        <v>0</v>
      </c>
      <c r="F516" t="s">
        <v>1723</v>
      </c>
      <c r="G516" t="s">
        <v>1724</v>
      </c>
      <c r="H516" t="s">
        <v>1725</v>
      </c>
    </row>
    <row r="517" spans="1:8" x14ac:dyDescent="0.55000000000000004">
      <c r="A517" t="s">
        <v>6796</v>
      </c>
      <c r="B517" s="7" t="str">
        <f>HYPERLINK("[#]Feature_Schema_2!A15052:F15052","STEEP_TERRAIN_FACE_C")</f>
        <v>STEEP_TERRAIN_FACE_C</v>
      </c>
      <c r="C517" t="s">
        <v>6675</v>
      </c>
      <c r="D517" t="s">
        <v>2899</v>
      </c>
      <c r="E517">
        <v>0</v>
      </c>
      <c r="F517" t="s">
        <v>2900</v>
      </c>
      <c r="G517" t="s">
        <v>2901</v>
      </c>
      <c r="H517" t="s">
        <v>2902</v>
      </c>
    </row>
    <row r="518" spans="1:8" x14ac:dyDescent="0.55000000000000004">
      <c r="A518" t="s">
        <v>6749</v>
      </c>
      <c r="B518" s="7" t="str">
        <f>HYPERLINK("[#]Feature_Schema_2!A15106:F15106","STOPWAY_S")</f>
        <v>STOPWAY_S</v>
      </c>
      <c r="C518" t="s">
        <v>6676</v>
      </c>
      <c r="D518" t="s">
        <v>3774</v>
      </c>
      <c r="E518">
        <v>0</v>
      </c>
      <c r="F518" t="s">
        <v>3775</v>
      </c>
      <c r="G518" t="s">
        <v>3776</v>
      </c>
      <c r="H518" t="s">
        <v>3777</v>
      </c>
    </row>
    <row r="519" spans="1:8" x14ac:dyDescent="0.55000000000000004">
      <c r="A519" t="s">
        <v>6810</v>
      </c>
      <c r="B519" s="7" t="str">
        <f>HYPERLINK("[#]Feature_Schema_2!A15230:F15230","STORAGE_DEPOT_P")</f>
        <v>STORAGE_DEPOT_P</v>
      </c>
      <c r="C519" t="s">
        <v>6677</v>
      </c>
      <c r="D519" t="s">
        <v>1186</v>
      </c>
      <c r="E519">
        <v>0</v>
      </c>
      <c r="F519" t="s">
        <v>1187</v>
      </c>
      <c r="G519" t="s">
        <v>1188</v>
      </c>
      <c r="H519" t="s">
        <v>1189</v>
      </c>
    </row>
    <row r="520" spans="1:8" x14ac:dyDescent="0.55000000000000004">
      <c r="A520" t="s">
        <v>6811</v>
      </c>
      <c r="B520" s="7" t="str">
        <f>HYPERLINK("[#]Feature_Schema_2!A15432:F15432","STORAGE_DEPOT_S")</f>
        <v>STORAGE_DEPOT_S</v>
      </c>
      <c r="C520" t="s">
        <v>6677</v>
      </c>
      <c r="D520" t="s">
        <v>1186</v>
      </c>
      <c r="E520">
        <v>0</v>
      </c>
      <c r="F520" t="s">
        <v>1187</v>
      </c>
      <c r="G520" t="s">
        <v>1188</v>
      </c>
      <c r="H520" t="s">
        <v>1189</v>
      </c>
    </row>
    <row r="521" spans="1:8" x14ac:dyDescent="0.55000000000000004">
      <c r="A521" t="s">
        <v>6834</v>
      </c>
      <c r="B521" s="7" t="str">
        <f>HYPERLINK("[#]Feature_Schema_2!A15634:F15634","STORAGE_TANK_AON_S")</f>
        <v>STORAGE_TANK_AON_S</v>
      </c>
      <c r="C521" t="s">
        <v>6678</v>
      </c>
    </row>
    <row r="522" spans="1:8" x14ac:dyDescent="0.55000000000000004">
      <c r="A522" t="s">
        <v>6810</v>
      </c>
      <c r="B522" s="7" t="str">
        <f>HYPERLINK("[#]Feature_Schema_2!A15899:F15899","STORAGE_TANK_P")</f>
        <v>STORAGE_TANK_P</v>
      </c>
      <c r="C522" t="s">
        <v>6679</v>
      </c>
      <c r="D522" t="s">
        <v>1282</v>
      </c>
      <c r="E522">
        <v>0</v>
      </c>
      <c r="F522" t="s">
        <v>1283</v>
      </c>
      <c r="G522" t="s">
        <v>1284</v>
      </c>
      <c r="H522" t="s">
        <v>1285</v>
      </c>
    </row>
    <row r="523" spans="1:8" x14ac:dyDescent="0.55000000000000004">
      <c r="A523" t="s">
        <v>6811</v>
      </c>
      <c r="B523" s="7" t="str">
        <f>HYPERLINK("[#]Feature_Schema_2!A16172:F16172","STORAGE_TANK_S")</f>
        <v>STORAGE_TANK_S</v>
      </c>
      <c r="C523" t="s">
        <v>6679</v>
      </c>
      <c r="D523" t="s">
        <v>1282</v>
      </c>
      <c r="E523">
        <v>0</v>
      </c>
      <c r="F523" t="s">
        <v>1283</v>
      </c>
      <c r="G523" t="s">
        <v>1284</v>
      </c>
      <c r="H523" t="s">
        <v>1285</v>
      </c>
    </row>
    <row r="524" spans="1:8" x14ac:dyDescent="0.55000000000000004">
      <c r="A524" t="s">
        <v>6745</v>
      </c>
      <c r="B524" s="7" t="str">
        <f>HYPERLINK("[#]Feature_Schema_2!A16445:F16445","STORM_DRAIN_P")</f>
        <v>STORM_DRAIN_P</v>
      </c>
      <c r="C524" t="s">
        <v>6680</v>
      </c>
      <c r="D524" t="s">
        <v>1702</v>
      </c>
      <c r="E524">
        <v>0</v>
      </c>
      <c r="F524" t="s">
        <v>1703</v>
      </c>
      <c r="G524" t="s">
        <v>1704</v>
      </c>
      <c r="H524" t="s">
        <v>1705</v>
      </c>
    </row>
    <row r="525" spans="1:8" x14ac:dyDescent="0.55000000000000004">
      <c r="A525" t="s">
        <v>6783</v>
      </c>
      <c r="B525" s="7" t="str">
        <f>HYPERLINK("[#]Feature_Schema_2!A16522:F16522","STREET_LAMP_P")</f>
        <v>STREET_LAMP_P</v>
      </c>
      <c r="C525" t="s">
        <v>6681</v>
      </c>
      <c r="D525" t="s">
        <v>1762</v>
      </c>
      <c r="E525">
        <v>0</v>
      </c>
      <c r="F525" t="s">
        <v>1763</v>
      </c>
      <c r="G525" t="s">
        <v>1764</v>
      </c>
      <c r="H525" t="s">
        <v>1765</v>
      </c>
    </row>
    <row r="526" spans="1:8" x14ac:dyDescent="0.55000000000000004">
      <c r="A526" t="s">
        <v>6783</v>
      </c>
      <c r="B526" s="7" t="str">
        <f>HYPERLINK("[#]Feature_Schema_2!A16575:F16575","STREET_SIGN_P")</f>
        <v>STREET_SIGN_P</v>
      </c>
      <c r="C526" t="s">
        <v>6682</v>
      </c>
      <c r="D526" t="s">
        <v>1766</v>
      </c>
      <c r="E526">
        <v>0</v>
      </c>
      <c r="F526" t="s">
        <v>1767</v>
      </c>
      <c r="G526" t="s">
        <v>1768</v>
      </c>
      <c r="H526" t="s">
        <v>1769</v>
      </c>
    </row>
    <row r="527" spans="1:8" x14ac:dyDescent="0.55000000000000004">
      <c r="A527" t="s">
        <v>6829</v>
      </c>
      <c r="B527" s="7" t="str">
        <f>HYPERLINK("[#]Feature_Schema_2!A16678:F16678","STRUCTURAL_PILE_P")</f>
        <v>STRUCTURAL_PILE_P</v>
      </c>
      <c r="C527" t="s">
        <v>6683</v>
      </c>
      <c r="D527" t="s">
        <v>2313</v>
      </c>
      <c r="E527">
        <v>0</v>
      </c>
      <c r="F527" t="s">
        <v>2314</v>
      </c>
      <c r="G527" t="s">
        <v>2315</v>
      </c>
      <c r="H527" t="s">
        <v>2316</v>
      </c>
    </row>
    <row r="528" spans="1:8" x14ac:dyDescent="0.55000000000000004">
      <c r="A528" t="s">
        <v>6803</v>
      </c>
      <c r="B528" s="7" t="str">
        <f>HYPERLINK("[#]Feature_Schema_2!A16771:F16771","STRUCTURAL_PILE_S")</f>
        <v>STRUCTURAL_PILE_S</v>
      </c>
      <c r="C528" t="s">
        <v>6683</v>
      </c>
      <c r="D528" t="s">
        <v>2313</v>
      </c>
      <c r="E528">
        <v>0</v>
      </c>
      <c r="F528" t="s">
        <v>2314</v>
      </c>
      <c r="G528" t="s">
        <v>2315</v>
      </c>
      <c r="H528" t="s">
        <v>2316</v>
      </c>
    </row>
    <row r="529" spans="1:8" x14ac:dyDescent="0.55000000000000004">
      <c r="A529" t="s">
        <v>6790</v>
      </c>
      <c r="B529" s="7" t="str">
        <f>HYPERLINK("[#]Feature_Schema_2!A16864:F16864","SURFACE_BUNKER_P")</f>
        <v>SURFACE_BUNKER_P</v>
      </c>
      <c r="C529" t="s">
        <v>1214</v>
      </c>
      <c r="D529" t="s">
        <v>1216</v>
      </c>
      <c r="E529">
        <v>0</v>
      </c>
      <c r="F529" t="s">
        <v>1217</v>
      </c>
      <c r="G529" t="s">
        <v>1218</v>
      </c>
      <c r="H529" t="s">
        <v>1215</v>
      </c>
    </row>
    <row r="530" spans="1:8" x14ac:dyDescent="0.55000000000000004">
      <c r="A530" t="s">
        <v>6789</v>
      </c>
      <c r="B530" s="7" t="str">
        <f>HYPERLINK("[#]Feature_Schema_2!A16974:F16974","SURFACE_BUNKER_S")</f>
        <v>SURFACE_BUNKER_S</v>
      </c>
      <c r="C530" t="s">
        <v>1214</v>
      </c>
      <c r="D530" t="s">
        <v>1216</v>
      </c>
      <c r="E530">
        <v>0</v>
      </c>
      <c r="F530" t="s">
        <v>1217</v>
      </c>
      <c r="G530" t="s">
        <v>1218</v>
      </c>
      <c r="H530" t="s">
        <v>1215</v>
      </c>
    </row>
    <row r="531" spans="1:8" x14ac:dyDescent="0.55000000000000004">
      <c r="A531" t="s">
        <v>6833</v>
      </c>
      <c r="B531" s="7" t="str">
        <f>HYPERLINK("[#]Feature_Schema_2!A17084:F17084","SURVEY_POINT_P")</f>
        <v>SURVEY_POINT_P</v>
      </c>
      <c r="C531" t="s">
        <v>6684</v>
      </c>
    </row>
    <row r="532" spans="1:8" x14ac:dyDescent="0.55000000000000004">
      <c r="A532" t="s">
        <v>6781</v>
      </c>
      <c r="B532" s="7" t="str">
        <f>HYPERLINK("[#]Feature_Schema_2!A17148:F17148","SWAMP_S")</f>
        <v>SWAMP_S</v>
      </c>
      <c r="C532" t="s">
        <v>6685</v>
      </c>
      <c r="D532" t="s">
        <v>3348</v>
      </c>
      <c r="E532">
        <v>0</v>
      </c>
      <c r="F532" t="s">
        <v>3349</v>
      </c>
      <c r="G532" t="s">
        <v>3350</v>
      </c>
      <c r="H532" t="s">
        <v>3351</v>
      </c>
    </row>
    <row r="533" spans="1:8" x14ac:dyDescent="0.55000000000000004">
      <c r="A533" t="s">
        <v>6761</v>
      </c>
      <c r="B533" s="7" t="str">
        <f>HYPERLINK("[#]Feature_Schema_2!A17331:F17331","SWEPT_AREA_S")</f>
        <v>SWEPT_AREA_S</v>
      </c>
      <c r="C533" t="s">
        <v>6686</v>
      </c>
      <c r="D533" t="s">
        <v>3635</v>
      </c>
      <c r="E533">
        <v>0</v>
      </c>
      <c r="F533" t="s">
        <v>3636</v>
      </c>
      <c r="G533" t="s">
        <v>3637</v>
      </c>
      <c r="H533" t="s">
        <v>3638</v>
      </c>
    </row>
    <row r="534" spans="1:8" x14ac:dyDescent="0.55000000000000004">
      <c r="A534" t="s">
        <v>6835</v>
      </c>
      <c r="B534" s="7" t="str">
        <f>HYPERLINK("[#]Feature_Schema_2!A17527:F17527","SWIMMING_POOL_AON_S")</f>
        <v>SWIMMING_POOL_AON_S</v>
      </c>
      <c r="C534" t="s">
        <v>6687</v>
      </c>
    </row>
    <row r="535" spans="1:8" x14ac:dyDescent="0.55000000000000004">
      <c r="A535" t="s">
        <v>6750</v>
      </c>
      <c r="B535" s="7" t="str">
        <f>HYPERLINK("[#]Feature_Schema_2!A17690:F17690","SWIMMING_POOL_P")</f>
        <v>SWIMMING_POOL_P</v>
      </c>
      <c r="C535" t="s">
        <v>6688</v>
      </c>
      <c r="D535" t="s">
        <v>439</v>
      </c>
      <c r="E535">
        <v>0</v>
      </c>
      <c r="F535" t="s">
        <v>440</v>
      </c>
      <c r="G535" t="s">
        <v>441</v>
      </c>
      <c r="H535" t="s">
        <v>442</v>
      </c>
    </row>
    <row r="536" spans="1:8" x14ac:dyDescent="0.55000000000000004">
      <c r="A536" t="s">
        <v>6751</v>
      </c>
      <c r="B536" s="7" t="str">
        <f>HYPERLINK("[#]Feature_Schema_2!A17853:F17853","SWIMMING_POOL_S")</f>
        <v>SWIMMING_POOL_S</v>
      </c>
      <c r="C536" t="s">
        <v>6688</v>
      </c>
      <c r="D536" t="s">
        <v>439</v>
      </c>
      <c r="E536">
        <v>0</v>
      </c>
      <c r="F536" t="s">
        <v>440</v>
      </c>
      <c r="G536" t="s">
        <v>441</v>
      </c>
      <c r="H536" t="s">
        <v>442</v>
      </c>
    </row>
    <row r="537" spans="1:8" x14ac:dyDescent="0.55000000000000004">
      <c r="A537" t="s">
        <v>6783</v>
      </c>
      <c r="B537" s="7" t="str">
        <f>HYPERLINK("[#]Feature_Schema_2!A18016:F18016","TANK_CROSSING_P")</f>
        <v>TANK_CROSSING_P</v>
      </c>
      <c r="C537" t="s">
        <v>6689</v>
      </c>
    </row>
    <row r="538" spans="1:8" x14ac:dyDescent="0.55000000000000004">
      <c r="A538" t="s">
        <v>6767</v>
      </c>
      <c r="B538" s="7" t="str">
        <f>HYPERLINK("[#]Feature_Schema_2!A18104:F18104","TANK_CROSSING_S")</f>
        <v>TANK_CROSSING_S</v>
      </c>
      <c r="C538" t="s">
        <v>6689</v>
      </c>
    </row>
    <row r="539" spans="1:8" x14ac:dyDescent="0.55000000000000004">
      <c r="A539" t="s">
        <v>6810</v>
      </c>
      <c r="B539" s="7" t="str">
        <f>HYPERLINK("[#]Feature_Schema_2!A18192:F18192","TANK_FARM_P")</f>
        <v>TANK_FARM_P</v>
      </c>
      <c r="C539" t="s">
        <v>6690</v>
      </c>
      <c r="D539" t="s">
        <v>1286</v>
      </c>
      <c r="E539">
        <v>0</v>
      </c>
      <c r="F539" t="s">
        <v>1287</v>
      </c>
      <c r="G539" t="s">
        <v>1288</v>
      </c>
      <c r="H539" t="s">
        <v>1289</v>
      </c>
    </row>
    <row r="540" spans="1:8" x14ac:dyDescent="0.55000000000000004">
      <c r="A540" t="s">
        <v>6811</v>
      </c>
      <c r="B540" s="7" t="str">
        <f>HYPERLINK("[#]Feature_Schema_2!A18322:F18322","TANK_FARM_S")</f>
        <v>TANK_FARM_S</v>
      </c>
      <c r="C540" t="s">
        <v>6690</v>
      </c>
      <c r="D540" t="s">
        <v>1286</v>
      </c>
      <c r="E540">
        <v>0</v>
      </c>
      <c r="F540" t="s">
        <v>1287</v>
      </c>
      <c r="G540" t="s">
        <v>1288</v>
      </c>
      <c r="H540" t="s">
        <v>1289</v>
      </c>
    </row>
    <row r="541" spans="1:8" x14ac:dyDescent="0.55000000000000004">
      <c r="A541" t="s">
        <v>6766</v>
      </c>
      <c r="B541" s="7" t="str">
        <f>HYPERLINK("[#]Feature_Schema_2!A18452:F18452","TANK_TRAIL_C")</f>
        <v>TANK_TRAIL_C</v>
      </c>
      <c r="C541" t="s">
        <v>6691</v>
      </c>
    </row>
    <row r="542" spans="1:8" x14ac:dyDescent="0.55000000000000004">
      <c r="A542" t="s">
        <v>6767</v>
      </c>
      <c r="B542" s="7" t="str">
        <f>HYPERLINK("[#]Feature_Schema_2!A18533:F18533","TANK_TRAIL_S")</f>
        <v>TANK_TRAIL_S</v>
      </c>
      <c r="C542" t="s">
        <v>6691</v>
      </c>
    </row>
    <row r="543" spans="1:8" x14ac:dyDescent="0.55000000000000004">
      <c r="A543" t="s">
        <v>6836</v>
      </c>
      <c r="B543" s="7" t="str">
        <f>HYPERLINK("[#]Feature_Schema_2!A18614:F18614","TAXIWAY_C")</f>
        <v>TAXIWAY_C</v>
      </c>
      <c r="C543" t="s">
        <v>6692</v>
      </c>
      <c r="D543" t="s">
        <v>3818</v>
      </c>
      <c r="E543">
        <v>0</v>
      </c>
      <c r="F543" t="s">
        <v>3819</v>
      </c>
      <c r="G543" t="s">
        <v>3820</v>
      </c>
      <c r="H543" t="s">
        <v>3821</v>
      </c>
    </row>
    <row r="544" spans="1:8" x14ac:dyDescent="0.55000000000000004">
      <c r="A544" t="s">
        <v>6749</v>
      </c>
      <c r="B544" s="7" t="str">
        <f>HYPERLINK("[#]Feature_Schema_2!A18813:F18813","TAXIWAY_S")</f>
        <v>TAXIWAY_S</v>
      </c>
      <c r="C544" t="s">
        <v>6692</v>
      </c>
      <c r="D544" t="s">
        <v>3818</v>
      </c>
      <c r="E544">
        <v>0</v>
      </c>
      <c r="F544" t="s">
        <v>3819</v>
      </c>
      <c r="G544" t="s">
        <v>3820</v>
      </c>
      <c r="H544" t="s">
        <v>3821</v>
      </c>
    </row>
    <row r="545" spans="1:8" x14ac:dyDescent="0.55000000000000004">
      <c r="A545" t="s">
        <v>6789</v>
      </c>
      <c r="B545" s="7" t="str">
        <f>HYPERLINK("[#]Feature_Schema_2!A19012:F19012","TEST_SITE_S")</f>
        <v>TEST_SITE_S</v>
      </c>
      <c r="C545" t="s">
        <v>6693</v>
      </c>
      <c r="D545" t="s">
        <v>3504</v>
      </c>
      <c r="E545">
        <v>0</v>
      </c>
      <c r="F545" t="s">
        <v>3505</v>
      </c>
      <c r="G545" t="s">
        <v>3506</v>
      </c>
      <c r="H545" t="s">
        <v>3507</v>
      </c>
    </row>
    <row r="546" spans="1:8" x14ac:dyDescent="0.55000000000000004">
      <c r="A546" t="s">
        <v>6748</v>
      </c>
      <c r="B546" s="7" t="str">
        <f>HYPERLINK("[#]Feature_Schema_2!A19065:F19065","TETHERED_BALLOON_P")</f>
        <v>TETHERED_BALLOON_P</v>
      </c>
      <c r="C546" s="12" t="s">
        <v>6694</v>
      </c>
      <c r="D546" s="12" t="s">
        <v>1182</v>
      </c>
      <c r="E546">
        <v>0</v>
      </c>
      <c r="F546" t="s">
        <v>1183</v>
      </c>
      <c r="G546" t="s">
        <v>1184</v>
      </c>
      <c r="H546" t="s">
        <v>1185</v>
      </c>
    </row>
    <row r="547" spans="1:8" x14ac:dyDescent="0.55000000000000004">
      <c r="A547" t="s">
        <v>6781</v>
      </c>
      <c r="B547" s="7" t="str">
        <f>HYPERLINK("[#]Feature_Schema_2!A19115:F19115","THICKET_S")</f>
        <v>THICKET_S</v>
      </c>
      <c r="C547" t="s">
        <v>6695</v>
      </c>
      <c r="D547" t="s">
        <v>3067</v>
      </c>
      <c r="E547">
        <v>0</v>
      </c>
      <c r="F547" t="s">
        <v>3068</v>
      </c>
      <c r="G547" t="s">
        <v>3069</v>
      </c>
      <c r="H547" t="s">
        <v>3070</v>
      </c>
    </row>
    <row r="548" spans="1:8" x14ac:dyDescent="0.55000000000000004">
      <c r="A548" t="s">
        <v>6760</v>
      </c>
      <c r="B548" s="7" t="str">
        <f>HYPERLINK("[#]Feature_Schema_2!A19159:F19159","TIDAL_STREAM_OBSERVE_STATION_P")</f>
        <v>TIDAL_STREAM_OBSERVE_STATION_P</v>
      </c>
      <c r="C548" t="s">
        <v>6696</v>
      </c>
      <c r="D548" t="s">
        <v>2481</v>
      </c>
      <c r="E548">
        <v>0</v>
      </c>
      <c r="F548" t="s">
        <v>2482</v>
      </c>
      <c r="G548" t="s">
        <v>2483</v>
      </c>
      <c r="H548" t="s">
        <v>2484</v>
      </c>
    </row>
    <row r="549" spans="1:8" x14ac:dyDescent="0.55000000000000004">
      <c r="A549" t="s">
        <v>6764</v>
      </c>
      <c r="B549" s="7" t="str">
        <f>HYPERLINK("[#]Feature_Schema_2!A19237:F19237","TIDAL_WATER_S")</f>
        <v>TIDAL_WATER_S</v>
      </c>
      <c r="C549" t="s">
        <v>6697</v>
      </c>
      <c r="D549" t="s">
        <v>1887</v>
      </c>
      <c r="E549">
        <v>0</v>
      </c>
      <c r="F549" t="s">
        <v>1274</v>
      </c>
      <c r="G549" t="s">
        <v>1888</v>
      </c>
      <c r="H549" t="s">
        <v>1889</v>
      </c>
    </row>
    <row r="550" spans="1:8" x14ac:dyDescent="0.55000000000000004">
      <c r="A550" t="s">
        <v>6768</v>
      </c>
      <c r="B550" s="7" t="str">
        <f>HYPERLINK("[#]Feature_Schema_2!A19355:F19355","TOMB_P")</f>
        <v>TOMB_P</v>
      </c>
      <c r="C550" t="s">
        <v>6698</v>
      </c>
      <c r="D550" t="s">
        <v>899</v>
      </c>
      <c r="E550">
        <v>0</v>
      </c>
      <c r="F550" t="s">
        <v>900</v>
      </c>
      <c r="G550" t="s">
        <v>901</v>
      </c>
      <c r="H550" t="s">
        <v>902</v>
      </c>
    </row>
    <row r="551" spans="1:8" x14ac:dyDescent="0.55000000000000004">
      <c r="A551" t="s">
        <v>6769</v>
      </c>
      <c r="B551" s="7" t="str">
        <f>HYPERLINK("[#]Feature_Schema_2!A19456:F19456","TOMB_S")</f>
        <v>TOMB_S</v>
      </c>
      <c r="C551" t="s">
        <v>6698</v>
      </c>
      <c r="D551" t="s">
        <v>899</v>
      </c>
      <c r="E551">
        <v>0</v>
      </c>
      <c r="F551" t="s">
        <v>900</v>
      </c>
      <c r="G551" t="s">
        <v>901</v>
      </c>
      <c r="H551" t="s">
        <v>902</v>
      </c>
    </row>
    <row r="552" spans="1:8" x14ac:dyDescent="0.55000000000000004">
      <c r="A552" t="s">
        <v>6771</v>
      </c>
      <c r="B552" s="7" t="str">
        <f>HYPERLINK("[#]Feature_Schema_2!A19557:F19557","TOWER_P")</f>
        <v>TOWER_P</v>
      </c>
      <c r="C552" t="s">
        <v>1102</v>
      </c>
      <c r="D552" t="s">
        <v>1104</v>
      </c>
      <c r="E552">
        <v>0</v>
      </c>
      <c r="F552" t="s">
        <v>1105</v>
      </c>
      <c r="G552" t="s">
        <v>1106</v>
      </c>
      <c r="H552" t="s">
        <v>1103</v>
      </c>
    </row>
    <row r="553" spans="1:8" x14ac:dyDescent="0.55000000000000004">
      <c r="A553" t="s">
        <v>6772</v>
      </c>
      <c r="B553" s="7" t="str">
        <f>HYPERLINK("[#]Feature_Schema_2!A19727:F19727","TOWER_S")</f>
        <v>TOWER_S</v>
      </c>
      <c r="C553" t="s">
        <v>1102</v>
      </c>
    </row>
    <row r="554" spans="1:8" x14ac:dyDescent="0.55000000000000004">
      <c r="A554" t="s">
        <v>6783</v>
      </c>
      <c r="B554" s="7" t="str">
        <f>HYPERLINK("[#]Feature_Schema_2!A19897:F19897","TRAFFIC_LIGHT_P")</f>
        <v>TRAFFIC_LIGHT_P</v>
      </c>
      <c r="C554" t="s">
        <v>6699</v>
      </c>
      <c r="D554" t="s">
        <v>1758</v>
      </c>
      <c r="E554">
        <v>0</v>
      </c>
      <c r="F554" t="s">
        <v>1759</v>
      </c>
      <c r="G554" t="s">
        <v>1760</v>
      </c>
      <c r="H554" t="s">
        <v>1761</v>
      </c>
    </row>
    <row r="555" spans="1:8" x14ac:dyDescent="0.55000000000000004">
      <c r="A555" t="s">
        <v>6801</v>
      </c>
      <c r="B555" s="7" t="str">
        <f>HYPERLINK("[#]Feature_Schema_2!A19950:F19950","TRAFFIC_SEPARATION_SCHEME_C")</f>
        <v>TRAFFIC_SEPARATION_SCHEME_C</v>
      </c>
      <c r="C555" t="s">
        <v>6700</v>
      </c>
      <c r="D555" t="s">
        <v>3571</v>
      </c>
      <c r="E555">
        <v>0</v>
      </c>
      <c r="F555" t="s">
        <v>3572</v>
      </c>
      <c r="G555" t="s">
        <v>3573</v>
      </c>
      <c r="H555" t="s">
        <v>3574</v>
      </c>
    </row>
    <row r="556" spans="1:8" x14ac:dyDescent="0.55000000000000004">
      <c r="A556" t="s">
        <v>6760</v>
      </c>
      <c r="B556" s="7" t="str">
        <f>HYPERLINK("[#]Feature_Schema_2!A20012:F20012","TRAFFIC_SEPARATION_SCHEME_P")</f>
        <v>TRAFFIC_SEPARATION_SCHEME_P</v>
      </c>
      <c r="C556" t="s">
        <v>6700</v>
      </c>
      <c r="D556" t="s">
        <v>3571</v>
      </c>
      <c r="E556">
        <v>0</v>
      </c>
      <c r="F556" t="s">
        <v>3572</v>
      </c>
      <c r="G556" t="s">
        <v>3573</v>
      </c>
      <c r="H556" t="s">
        <v>3574</v>
      </c>
    </row>
    <row r="557" spans="1:8" x14ac:dyDescent="0.55000000000000004">
      <c r="A557" t="s">
        <v>6761</v>
      </c>
      <c r="B557" s="7" t="str">
        <f>HYPERLINK("[#]Feature_Schema_2!A20074:F20074","TRAFFIC_SEPARATION_SCHEME_S")</f>
        <v>TRAFFIC_SEPARATION_SCHEME_S</v>
      </c>
      <c r="C557" t="s">
        <v>6700</v>
      </c>
      <c r="D557" t="s">
        <v>3571</v>
      </c>
      <c r="E557">
        <v>0</v>
      </c>
      <c r="F557" t="s">
        <v>3572</v>
      </c>
      <c r="G557" t="s">
        <v>3573</v>
      </c>
      <c r="H557" t="s">
        <v>3574</v>
      </c>
    </row>
    <row r="558" spans="1:8" x14ac:dyDescent="0.55000000000000004">
      <c r="A558" t="s">
        <v>6766</v>
      </c>
      <c r="B558" s="7" t="str">
        <f>HYPERLINK("[#]Feature_Schema_2!A20136:F20136","TRAIL_C")</f>
        <v>TRAIL_C</v>
      </c>
      <c r="C558" t="s">
        <v>6701</v>
      </c>
      <c r="D558" t="s">
        <v>1498</v>
      </c>
      <c r="E558">
        <v>0</v>
      </c>
      <c r="F558" t="s">
        <v>1499</v>
      </c>
      <c r="G558" t="s">
        <v>1500</v>
      </c>
      <c r="H558" t="s">
        <v>1501</v>
      </c>
    </row>
    <row r="559" spans="1:8" x14ac:dyDescent="0.55000000000000004">
      <c r="A559" t="s">
        <v>6790</v>
      </c>
      <c r="B559" s="7" t="str">
        <f>HYPERLINK("[#]Feature_Schema_2!A20233:F20233","TRAINING_SITE_P")</f>
        <v>TRAINING_SITE_P</v>
      </c>
      <c r="C559" t="s">
        <v>6702</v>
      </c>
      <c r="D559" t="s">
        <v>3516</v>
      </c>
      <c r="E559">
        <v>0</v>
      </c>
      <c r="F559" t="s">
        <v>3517</v>
      </c>
      <c r="G559" t="s">
        <v>3518</v>
      </c>
      <c r="H559" t="s">
        <v>3519</v>
      </c>
    </row>
    <row r="560" spans="1:8" x14ac:dyDescent="0.55000000000000004">
      <c r="A560" t="s">
        <v>6789</v>
      </c>
      <c r="B560" s="7" t="str">
        <f>HYPERLINK("[#]Feature_Schema_2!A20357:F20357","TRAINING_SITE_S")</f>
        <v>TRAINING_SITE_S</v>
      </c>
      <c r="C560" t="s">
        <v>6702</v>
      </c>
    </row>
    <row r="561" spans="1:8" x14ac:dyDescent="0.55000000000000004">
      <c r="A561" t="s">
        <v>6766</v>
      </c>
      <c r="B561" s="7" t="str">
        <f>HYPERLINK("[#]Feature_Schema_2!A20481:F20481","TRANS_ROUTE_CHARACTER_CHANGE_C")</f>
        <v>TRANS_ROUTE_CHARACTER_CHANGE_C</v>
      </c>
      <c r="C561" t="s">
        <v>6703</v>
      </c>
    </row>
    <row r="562" spans="1:8" x14ac:dyDescent="0.55000000000000004">
      <c r="A562" t="s">
        <v>6783</v>
      </c>
      <c r="B562" s="7" t="str">
        <f>HYPERLINK("[#]Feature_Schema_2!A20605:F20605","TRANS_ROUTE_CHARACTER_CHANGE_P")</f>
        <v>TRANS_ROUTE_CHARACTER_CHANGE_P</v>
      </c>
      <c r="C562" t="s">
        <v>6703</v>
      </c>
    </row>
    <row r="563" spans="1:8" x14ac:dyDescent="0.55000000000000004">
      <c r="A563" t="s">
        <v>6766</v>
      </c>
      <c r="B563" s="7" t="str">
        <f>HYPERLINK("[#]Feature_Schema_2!A20729:F20729","TRANS_ROUTE_PROTECT_STRUCT_C")</f>
        <v>TRANS_ROUTE_PROTECT_STRUCT_C</v>
      </c>
      <c r="C563" t="s">
        <v>6704</v>
      </c>
      <c r="D563" t="s">
        <v>1090</v>
      </c>
      <c r="E563">
        <v>0</v>
      </c>
      <c r="F563" t="s">
        <v>1091</v>
      </c>
      <c r="G563" t="s">
        <v>1092</v>
      </c>
      <c r="H563" t="s">
        <v>1093</v>
      </c>
    </row>
    <row r="564" spans="1:8" x14ac:dyDescent="0.55000000000000004">
      <c r="A564" t="s">
        <v>6783</v>
      </c>
      <c r="B564" s="7" t="str">
        <f>HYPERLINK("[#]Feature_Schema_2!A20815:F20815","TRANS_ROUTE_PROTECT_STRUCT_P")</f>
        <v>TRANS_ROUTE_PROTECT_STRUCT_P</v>
      </c>
      <c r="C564" t="s">
        <v>6704</v>
      </c>
      <c r="D564" t="s">
        <v>1090</v>
      </c>
      <c r="E564">
        <v>0</v>
      </c>
      <c r="F564" t="s">
        <v>1091</v>
      </c>
      <c r="G564" t="s">
        <v>1092</v>
      </c>
      <c r="H564" t="s">
        <v>1093</v>
      </c>
    </row>
    <row r="565" spans="1:8" x14ac:dyDescent="0.55000000000000004">
      <c r="A565" t="s">
        <v>6767</v>
      </c>
      <c r="B565" s="7" t="str">
        <f>HYPERLINK("[#]Feature_Schema_2!A20901:F20901","TRANS_ROUTE_PROTECT_STRUCT_S")</f>
        <v>TRANS_ROUTE_PROTECT_STRUCT_S</v>
      </c>
      <c r="C565" t="s">
        <v>6704</v>
      </c>
      <c r="D565" t="s">
        <v>1090</v>
      </c>
      <c r="E565">
        <v>0</v>
      </c>
      <c r="F565" t="s">
        <v>1091</v>
      </c>
      <c r="G565" t="s">
        <v>1092</v>
      </c>
      <c r="H565" t="s">
        <v>1093</v>
      </c>
    </row>
    <row r="566" spans="1:8" x14ac:dyDescent="0.55000000000000004">
      <c r="A566" t="s">
        <v>6783</v>
      </c>
      <c r="B566" s="7" t="str">
        <f>HYPERLINK("[#]Feature_Schema_2!A20987:F20987","TRANSPORTATION_BLOCK_P")</f>
        <v>TRANSPORTATION_BLOCK_P</v>
      </c>
      <c r="C566" t="s">
        <v>6705</v>
      </c>
      <c r="D566" t="s">
        <v>1658</v>
      </c>
      <c r="E566">
        <v>0</v>
      </c>
      <c r="F566" t="s">
        <v>1659</v>
      </c>
      <c r="G566" t="s">
        <v>1660</v>
      </c>
      <c r="H566" t="s">
        <v>1661</v>
      </c>
    </row>
    <row r="567" spans="1:8" x14ac:dyDescent="0.55000000000000004">
      <c r="A567" t="s">
        <v>6767</v>
      </c>
      <c r="B567" s="7" t="str">
        <f>HYPERLINK("[#]Feature_Schema_2!A21066:F21066","TRANSPORTATION_BLOCK_S")</f>
        <v>TRANSPORTATION_BLOCK_S</v>
      </c>
      <c r="C567" t="s">
        <v>6705</v>
      </c>
      <c r="D567" t="s">
        <v>1658</v>
      </c>
      <c r="E567">
        <v>0</v>
      </c>
      <c r="F567" t="s">
        <v>1659</v>
      </c>
      <c r="G567" t="s">
        <v>1660</v>
      </c>
      <c r="H567" t="s">
        <v>1661</v>
      </c>
    </row>
    <row r="568" spans="1:8" x14ac:dyDescent="0.55000000000000004">
      <c r="A568" t="s">
        <v>6783</v>
      </c>
      <c r="B568" s="7" t="str">
        <f>HYPERLINK("[#]Feature_Schema_2!A21145:F21145","TRANSPORTATION_STATION_P")</f>
        <v>TRANSPORTATION_STATION_P</v>
      </c>
      <c r="C568" t="s">
        <v>6706</v>
      </c>
      <c r="D568" t="s">
        <v>1726</v>
      </c>
      <c r="E568">
        <v>0</v>
      </c>
      <c r="F568" t="s">
        <v>1727</v>
      </c>
      <c r="G568" t="s">
        <v>1728</v>
      </c>
      <c r="H568" t="s">
        <v>1729</v>
      </c>
    </row>
    <row r="569" spans="1:8" x14ac:dyDescent="0.55000000000000004">
      <c r="A569" t="s">
        <v>6767</v>
      </c>
      <c r="B569" s="7" t="str">
        <f>HYPERLINK("[#]Feature_Schema_2!A21418:F21418","TRANSPORTATION_STATION_S")</f>
        <v>TRANSPORTATION_STATION_S</v>
      </c>
      <c r="C569" t="s">
        <v>6706</v>
      </c>
      <c r="D569" t="s">
        <v>1726</v>
      </c>
      <c r="E569">
        <v>0</v>
      </c>
      <c r="F569" t="s">
        <v>1727</v>
      </c>
      <c r="G569" t="s">
        <v>1728</v>
      </c>
      <c r="H569" t="s">
        <v>1729</v>
      </c>
    </row>
    <row r="570" spans="1:8" x14ac:dyDescent="0.55000000000000004">
      <c r="A570" t="s">
        <v>6837</v>
      </c>
      <c r="B570" s="7" t="str">
        <f>HYPERLINK("[#]Feature_Schema_2!A21691:F21691","TREE_P")</f>
        <v>TREE_P</v>
      </c>
      <c r="C570" t="s">
        <v>3095</v>
      </c>
      <c r="D570" t="s">
        <v>3097</v>
      </c>
      <c r="E570">
        <v>0</v>
      </c>
      <c r="F570" t="s">
        <v>3098</v>
      </c>
      <c r="G570" t="s">
        <v>3099</v>
      </c>
      <c r="H570" t="s">
        <v>3096</v>
      </c>
    </row>
    <row r="571" spans="1:8" x14ac:dyDescent="0.55000000000000004">
      <c r="A571" t="s">
        <v>6781</v>
      </c>
      <c r="B571" s="7" t="str">
        <f>HYPERLINK("[#]Feature_Schema_2!A21745:F21745","TUNDRA_S")</f>
        <v>TUNDRA_S</v>
      </c>
      <c r="C571" t="s">
        <v>6707</v>
      </c>
      <c r="D571" t="s">
        <v>2810</v>
      </c>
      <c r="E571">
        <v>0</v>
      </c>
      <c r="F571" t="s">
        <v>2811</v>
      </c>
      <c r="G571" t="s">
        <v>2812</v>
      </c>
      <c r="H571" t="s">
        <v>2813</v>
      </c>
    </row>
    <row r="572" spans="1:8" x14ac:dyDescent="0.55000000000000004">
      <c r="A572" t="s">
        <v>6766</v>
      </c>
      <c r="B572" s="7" t="str">
        <f>HYPERLINK("[#]Feature_Schema_2!A21787:F21787","TUNNEL_C")</f>
        <v>TUNNEL_C</v>
      </c>
      <c r="C572" t="s">
        <v>6708</v>
      </c>
      <c r="D572" t="s">
        <v>1730</v>
      </c>
      <c r="E572">
        <v>0</v>
      </c>
      <c r="F572" t="s">
        <v>1731</v>
      </c>
      <c r="G572" t="s">
        <v>1732</v>
      </c>
      <c r="H572" t="s">
        <v>1733</v>
      </c>
    </row>
    <row r="573" spans="1:8" x14ac:dyDescent="0.55000000000000004">
      <c r="A573" t="s">
        <v>6783</v>
      </c>
      <c r="B573" s="7" t="str">
        <f>HYPERLINK("[#]Feature_Schema_2!A21920:F21920","TUNNEL_MOUTH_P")</f>
        <v>TUNNEL_MOUTH_P</v>
      </c>
      <c r="C573" t="s">
        <v>6709</v>
      </c>
      <c r="D573" t="s">
        <v>1678</v>
      </c>
      <c r="E573">
        <v>0</v>
      </c>
      <c r="F573" t="s">
        <v>1679</v>
      </c>
      <c r="G573" t="s">
        <v>1680</v>
      </c>
      <c r="H573" t="s">
        <v>1681</v>
      </c>
    </row>
    <row r="574" spans="1:8" x14ac:dyDescent="0.55000000000000004">
      <c r="A574" t="s">
        <v>6767</v>
      </c>
      <c r="B574" s="7" t="str">
        <f>HYPERLINK("[#]Feature_Schema_2!A22019:F22019","TUNNEL_S")</f>
        <v>TUNNEL_S</v>
      </c>
      <c r="C574" t="s">
        <v>6708</v>
      </c>
      <c r="D574" t="s">
        <v>1730</v>
      </c>
      <c r="E574">
        <v>0</v>
      </c>
      <c r="F574" t="s">
        <v>1731</v>
      </c>
      <c r="G574" t="s">
        <v>1732</v>
      </c>
      <c r="H574" t="s">
        <v>1733</v>
      </c>
    </row>
    <row r="575" spans="1:8" x14ac:dyDescent="0.55000000000000004">
      <c r="A575" t="s">
        <v>6790</v>
      </c>
      <c r="B575" s="7" t="str">
        <f>HYPERLINK("[#]Feature_Schema_2!A22152:F22152","UNDERGROUND_BUNKER_P")</f>
        <v>UNDERGROUND_BUNKER_P</v>
      </c>
      <c r="C575" t="s">
        <v>6710</v>
      </c>
      <c r="D575" t="s">
        <v>241</v>
      </c>
      <c r="E575">
        <v>0</v>
      </c>
      <c r="F575" t="s">
        <v>242</v>
      </c>
      <c r="G575" t="s">
        <v>243</v>
      </c>
      <c r="H575" t="s">
        <v>244</v>
      </c>
    </row>
    <row r="576" spans="1:8" x14ac:dyDescent="0.55000000000000004">
      <c r="A576" t="s">
        <v>6789</v>
      </c>
      <c r="B576" s="7" t="str">
        <f>HYPERLINK("[#]Feature_Schema_2!A22274:F22274","UNDERGROUND_BUNKER_S")</f>
        <v>UNDERGROUND_BUNKER_S</v>
      </c>
      <c r="C576" t="s">
        <v>6710</v>
      </c>
    </row>
    <row r="577" spans="1:8" x14ac:dyDescent="0.55000000000000004">
      <c r="A577" t="s">
        <v>6771</v>
      </c>
      <c r="B577" s="7" t="str">
        <f>HYPERLINK("[#]Feature_Schema_2!A22396:F22396","UNDERGROUND_DWELLING_P")</f>
        <v>UNDERGROUND_DWELLING_P</v>
      </c>
      <c r="C577" t="s">
        <v>6711</v>
      </c>
      <c r="D577" t="s">
        <v>1155</v>
      </c>
      <c r="E577">
        <v>0</v>
      </c>
      <c r="F577" t="s">
        <v>1156</v>
      </c>
      <c r="G577" t="s">
        <v>1157</v>
      </c>
      <c r="H577" t="s">
        <v>1158</v>
      </c>
    </row>
    <row r="578" spans="1:8" x14ac:dyDescent="0.55000000000000004">
      <c r="A578" t="s">
        <v>6745</v>
      </c>
      <c r="B578" s="7" t="str">
        <f>HYPERLINK("[#]Feature_Schema_2!A22472:F22472","UTILITY_ACCESS_POINT_P")</f>
        <v>UTILITY_ACCESS_POINT_P</v>
      </c>
      <c r="C578" t="s">
        <v>6712</v>
      </c>
      <c r="D578" t="s">
        <v>1706</v>
      </c>
      <c r="E578">
        <v>0</v>
      </c>
      <c r="F578" t="s">
        <v>1707</v>
      </c>
      <c r="G578" t="s">
        <v>1708</v>
      </c>
      <c r="H578" t="s">
        <v>1709</v>
      </c>
    </row>
    <row r="579" spans="1:8" x14ac:dyDescent="0.55000000000000004">
      <c r="A579" t="s">
        <v>6792</v>
      </c>
      <c r="B579" s="7" t="str">
        <f>HYPERLINK("[#]Feature_Schema_2!A22581:F22581","VANISHING_POINT_P")</f>
        <v>VANISHING_POINT_P</v>
      </c>
      <c r="C579" t="s">
        <v>6713</v>
      </c>
      <c r="D579" t="s">
        <v>2608</v>
      </c>
      <c r="E579">
        <v>0</v>
      </c>
      <c r="F579" t="s">
        <v>2609</v>
      </c>
      <c r="G579" t="s">
        <v>2610</v>
      </c>
      <c r="H579" t="s">
        <v>2611</v>
      </c>
    </row>
    <row r="580" spans="1:8" x14ac:dyDescent="0.55000000000000004">
      <c r="A580" t="s">
        <v>6766</v>
      </c>
      <c r="B580" s="7" t="str">
        <f>HYPERLINK("[#]Feature_Schema_2!A22667:F22667","VEHICLE_BARRIER_C")</f>
        <v>VEHICLE_BARRIER_C</v>
      </c>
      <c r="C580" t="s">
        <v>6714</v>
      </c>
      <c r="D580" t="s">
        <v>1494</v>
      </c>
      <c r="E580">
        <v>0</v>
      </c>
      <c r="F580" t="s">
        <v>1495</v>
      </c>
      <c r="G580" t="s">
        <v>1496</v>
      </c>
      <c r="H580" t="s">
        <v>1497</v>
      </c>
    </row>
    <row r="581" spans="1:8" x14ac:dyDescent="0.55000000000000004">
      <c r="A581" t="s">
        <v>6783</v>
      </c>
      <c r="B581" s="7" t="str">
        <f>HYPERLINK("[#]Feature_Schema_2!A22777:F22777","VEHICLE_BARRIER_P")</f>
        <v>VEHICLE_BARRIER_P</v>
      </c>
      <c r="C581" t="s">
        <v>6714</v>
      </c>
      <c r="D581" t="s">
        <v>1494</v>
      </c>
      <c r="E581">
        <v>0</v>
      </c>
      <c r="F581" t="s">
        <v>1495</v>
      </c>
      <c r="G581" t="s">
        <v>1496</v>
      </c>
      <c r="H581" t="s">
        <v>1497</v>
      </c>
    </row>
    <row r="582" spans="1:8" x14ac:dyDescent="0.55000000000000004">
      <c r="A582" t="s">
        <v>6767</v>
      </c>
      <c r="B582" s="7" t="str">
        <f>HYPERLINK("[#]Feature_Schema_2!A22887:F22887","VEHICLE_LOT_S")</f>
        <v>VEHICLE_LOT_S</v>
      </c>
      <c r="C582" t="s">
        <v>6715</v>
      </c>
      <c r="D582" t="s">
        <v>1738</v>
      </c>
      <c r="E582">
        <v>0</v>
      </c>
      <c r="F582" t="s">
        <v>1739</v>
      </c>
      <c r="G582" t="s">
        <v>1740</v>
      </c>
      <c r="H582" t="s">
        <v>1741</v>
      </c>
    </row>
    <row r="583" spans="1:8" x14ac:dyDescent="0.55000000000000004">
      <c r="A583" t="s">
        <v>6803</v>
      </c>
      <c r="B583" s="7" t="str">
        <f>HYPERLINK("[#]Feature_Schema_2!A22987:F22987","VESSEL_LIFT_S")</f>
        <v>VESSEL_LIFT_S</v>
      </c>
      <c r="C583" t="s">
        <v>6716</v>
      </c>
      <c r="D583" t="s">
        <v>2691</v>
      </c>
      <c r="E583">
        <v>0</v>
      </c>
      <c r="F583" t="s">
        <v>2692</v>
      </c>
      <c r="G583" t="s">
        <v>2693</v>
      </c>
      <c r="H583" t="s">
        <v>2694</v>
      </c>
    </row>
    <row r="584" spans="1:8" x14ac:dyDescent="0.55000000000000004">
      <c r="A584" t="s">
        <v>6826</v>
      </c>
      <c r="B584" s="7" t="str">
        <f>HYPERLINK("[#]Feature_Schema_2!A23054:F23054","VINEYARD_P")</f>
        <v>VINEYARD_P</v>
      </c>
      <c r="C584" t="s">
        <v>6717</v>
      </c>
      <c r="D584" t="s">
        <v>3047</v>
      </c>
      <c r="E584">
        <v>0</v>
      </c>
      <c r="F584" t="s">
        <v>3048</v>
      </c>
      <c r="G584" t="s">
        <v>3049</v>
      </c>
      <c r="H584" t="s">
        <v>3050</v>
      </c>
    </row>
    <row r="585" spans="1:8" x14ac:dyDescent="0.55000000000000004">
      <c r="A585" t="s">
        <v>6774</v>
      </c>
      <c r="B585" s="7" t="str">
        <f>HYPERLINK("[#]Feature_Schema_2!A23142:F23142","VINEYARD_S")</f>
        <v>VINEYARD_S</v>
      </c>
      <c r="C585" t="s">
        <v>6717</v>
      </c>
      <c r="D585" t="s">
        <v>3047</v>
      </c>
      <c r="E585">
        <v>0</v>
      </c>
      <c r="F585" t="s">
        <v>3048</v>
      </c>
      <c r="G585" t="s">
        <v>3049</v>
      </c>
      <c r="H585" t="s">
        <v>3050</v>
      </c>
    </row>
    <row r="586" spans="1:8" x14ac:dyDescent="0.55000000000000004">
      <c r="A586" t="s">
        <v>6757</v>
      </c>
      <c r="B586" s="7" t="str">
        <f>HYPERLINK("[#]Feature_Schema_2!A23230:F23230","VOID_COLLECTION_AREA_S")</f>
        <v>VOID_COLLECTION_AREA_S</v>
      </c>
      <c r="C586" t="s">
        <v>6718</v>
      </c>
      <c r="D586" t="s">
        <v>6068</v>
      </c>
      <c r="E586">
        <v>0</v>
      </c>
      <c r="F586" t="s">
        <v>6069</v>
      </c>
      <c r="G586" t="s">
        <v>6070</v>
      </c>
      <c r="H586" t="s">
        <v>6071</v>
      </c>
    </row>
    <row r="587" spans="1:8" x14ac:dyDescent="0.55000000000000004">
      <c r="A587" t="s">
        <v>6796</v>
      </c>
      <c r="B587" s="7" t="str">
        <f>HYPERLINK("[#]Feature_Schema_2!A23326:F23326","VOLCANIC_DYKE_C")</f>
        <v>VOLCANIC_DYKE_C</v>
      </c>
      <c r="C587" t="s">
        <v>6719</v>
      </c>
      <c r="D587" t="s">
        <v>2986</v>
      </c>
      <c r="E587">
        <v>0</v>
      </c>
      <c r="F587" t="s">
        <v>2987</v>
      </c>
      <c r="G587" t="s">
        <v>2988</v>
      </c>
      <c r="H587" t="s">
        <v>2989</v>
      </c>
    </row>
    <row r="588" spans="1:8" x14ac:dyDescent="0.55000000000000004">
      <c r="A588" t="s">
        <v>6791</v>
      </c>
      <c r="B588" s="7" t="str">
        <f>HYPERLINK("[#]Feature_Schema_2!A23369:F23369","VOLCANO_P")</f>
        <v>VOLCANO_P</v>
      </c>
      <c r="C588" t="s">
        <v>6720</v>
      </c>
      <c r="D588" t="s">
        <v>2974</v>
      </c>
      <c r="E588">
        <v>0</v>
      </c>
      <c r="F588" t="s">
        <v>2975</v>
      </c>
      <c r="G588" t="s">
        <v>2976</v>
      </c>
      <c r="H588" t="s">
        <v>2977</v>
      </c>
    </row>
    <row r="589" spans="1:8" x14ac:dyDescent="0.55000000000000004">
      <c r="A589" t="s">
        <v>6770</v>
      </c>
      <c r="B589" s="7" t="str">
        <f>HYPERLINK("[#]Feature_Schema_2!A23422:F23422","VOLCANO_S")</f>
        <v>VOLCANO_S</v>
      </c>
      <c r="C589" t="s">
        <v>6720</v>
      </c>
      <c r="D589" t="s">
        <v>2974</v>
      </c>
      <c r="E589">
        <v>0</v>
      </c>
      <c r="F589" t="s">
        <v>2975</v>
      </c>
      <c r="G589" t="s">
        <v>2976</v>
      </c>
      <c r="H589" t="s">
        <v>2977</v>
      </c>
    </row>
    <row r="590" spans="1:8" x14ac:dyDescent="0.55000000000000004">
      <c r="A590" t="s">
        <v>6784</v>
      </c>
      <c r="B590" s="7" t="str">
        <f>HYPERLINK("[#]Feature_Schema_2!A23475:F23475","WALL_C")</f>
        <v>WALL_C</v>
      </c>
      <c r="C590" t="s">
        <v>6721</v>
      </c>
      <c r="D590" t="s">
        <v>1159</v>
      </c>
      <c r="E590">
        <v>0</v>
      </c>
      <c r="F590" t="s">
        <v>1160</v>
      </c>
      <c r="G590" t="s">
        <v>1161</v>
      </c>
      <c r="H590" t="s">
        <v>1162</v>
      </c>
    </row>
    <row r="591" spans="1:8" x14ac:dyDescent="0.55000000000000004">
      <c r="A591" t="s">
        <v>6780</v>
      </c>
      <c r="B591" s="7" t="str">
        <f>HYPERLINK("[#]Feature_Schema_2!A23590:F23590","WASTE_HEAP_P")</f>
        <v>WASTE_HEAP_P</v>
      </c>
      <c r="C591" t="s">
        <v>6722</v>
      </c>
      <c r="D591" t="s">
        <v>68</v>
      </c>
      <c r="E591">
        <v>0</v>
      </c>
      <c r="F591" t="s">
        <v>69</v>
      </c>
      <c r="G591" t="s">
        <v>70</v>
      </c>
      <c r="H591" t="s">
        <v>71</v>
      </c>
    </row>
    <row r="592" spans="1:8" x14ac:dyDescent="0.55000000000000004">
      <c r="A592" t="s">
        <v>6744</v>
      </c>
      <c r="B592" s="7" t="str">
        <f>HYPERLINK("[#]Feature_Schema_2!A23632:F23632","WASTE_HEAP_S")</f>
        <v>WASTE_HEAP_S</v>
      </c>
      <c r="C592" t="s">
        <v>6722</v>
      </c>
      <c r="D592" t="s">
        <v>68</v>
      </c>
      <c r="E592">
        <v>0</v>
      </c>
      <c r="F592" t="s">
        <v>69</v>
      </c>
      <c r="G592" t="s">
        <v>70</v>
      </c>
      <c r="H592" t="s">
        <v>71</v>
      </c>
    </row>
    <row r="593" spans="1:8" x14ac:dyDescent="0.55000000000000004">
      <c r="A593" t="s">
        <v>6748</v>
      </c>
      <c r="B593" s="7" t="str">
        <f>HYPERLINK("[#]Feature_Schema_2!A23674:F23674","WATER_AERODROME_P")</f>
        <v>WATER_AERODROME_P</v>
      </c>
      <c r="C593" t="s">
        <v>6723</v>
      </c>
      <c r="D593" t="s">
        <v>3810</v>
      </c>
      <c r="E593">
        <v>0</v>
      </c>
      <c r="F593" t="s">
        <v>3811</v>
      </c>
      <c r="G593" t="s">
        <v>3812</v>
      </c>
      <c r="H593" t="s">
        <v>3813</v>
      </c>
    </row>
    <row r="594" spans="1:8" x14ac:dyDescent="0.55000000000000004">
      <c r="A594" t="s">
        <v>6749</v>
      </c>
      <c r="B594" s="7" t="str">
        <f>HYPERLINK("[#]Feature_Schema_2!A23754:F23754","WATER_AERODROME_S")</f>
        <v>WATER_AERODROME_S</v>
      </c>
      <c r="C594" t="s">
        <v>6723</v>
      </c>
      <c r="D594" t="s">
        <v>3810</v>
      </c>
      <c r="E594">
        <v>0</v>
      </c>
      <c r="F594" t="s">
        <v>3811</v>
      </c>
      <c r="G594" t="s">
        <v>3812</v>
      </c>
      <c r="H594" t="s">
        <v>3813</v>
      </c>
    </row>
    <row r="595" spans="1:8" x14ac:dyDescent="0.55000000000000004">
      <c r="A595" t="s">
        <v>6792</v>
      </c>
      <c r="B595" s="7" t="str">
        <f>HYPERLINK("[#]Feature_Schema_2!A23834:F23834","WATER_INTAKE_TOWER_P")</f>
        <v>WATER_INTAKE_TOWER_P</v>
      </c>
      <c r="C595" t="s">
        <v>6724</v>
      </c>
      <c r="D595" t="s">
        <v>2750</v>
      </c>
      <c r="E595">
        <v>0</v>
      </c>
      <c r="F595" t="s">
        <v>2751</v>
      </c>
      <c r="G595" t="s">
        <v>2752</v>
      </c>
      <c r="H595" t="s">
        <v>2753</v>
      </c>
    </row>
    <row r="596" spans="1:8" x14ac:dyDescent="0.55000000000000004">
      <c r="A596" t="s">
        <v>6764</v>
      </c>
      <c r="B596" s="7" t="str">
        <f>HYPERLINK("[#]Feature_Schema_2!A23980:F23980","WATER_INTAKE_TOWER_S")</f>
        <v>WATER_INTAKE_TOWER_S</v>
      </c>
      <c r="C596" t="s">
        <v>6724</v>
      </c>
      <c r="D596" t="s">
        <v>2750</v>
      </c>
      <c r="E596">
        <v>0</v>
      </c>
      <c r="F596" t="s">
        <v>2751</v>
      </c>
      <c r="G596" t="s">
        <v>2752</v>
      </c>
      <c r="H596" t="s">
        <v>2753</v>
      </c>
    </row>
    <row r="597" spans="1:8" x14ac:dyDescent="0.55000000000000004">
      <c r="A597" t="s">
        <v>6792</v>
      </c>
      <c r="B597" s="7" t="str">
        <f>HYPERLINK("[#]Feature_Schema_2!A24126:F24126","WATER_MEASUREMENT_LOCATION_P")</f>
        <v>WATER_MEASUREMENT_LOCATION_P</v>
      </c>
      <c r="C597" t="s">
        <v>6725</v>
      </c>
    </row>
    <row r="598" spans="1:8" x14ac:dyDescent="0.55000000000000004">
      <c r="A598" t="s">
        <v>6764</v>
      </c>
      <c r="B598" s="7" t="str">
        <f>HYPERLINK("[#]Feature_Schema_2!A24265:F24265","WATER_MEASUREMENT_LOCATION_S")</f>
        <v>WATER_MEASUREMENT_LOCATION_S</v>
      </c>
      <c r="C598" t="s">
        <v>6725</v>
      </c>
    </row>
    <row r="599" spans="1:8" x14ac:dyDescent="0.55000000000000004">
      <c r="A599" t="s">
        <v>6780</v>
      </c>
      <c r="B599" s="7" t="str">
        <f>HYPERLINK("[#]Feature_Schema_2!A24404:F24404","WATER_MILL_P")</f>
        <v>WATER_MILL_P</v>
      </c>
      <c r="C599" t="s">
        <v>6726</v>
      </c>
      <c r="D599" t="s">
        <v>277</v>
      </c>
      <c r="E599">
        <v>0</v>
      </c>
      <c r="F599" t="s">
        <v>278</v>
      </c>
      <c r="G599" t="s">
        <v>279</v>
      </c>
      <c r="H599" t="s">
        <v>280</v>
      </c>
    </row>
    <row r="600" spans="1:8" x14ac:dyDescent="0.55000000000000004">
      <c r="A600" t="s">
        <v>6744</v>
      </c>
      <c r="B600" s="7" t="str">
        <f>HYPERLINK("[#]Feature_Schema_2!A24529:F24529","WATER_MILL_S")</f>
        <v>WATER_MILL_S</v>
      </c>
      <c r="C600" t="s">
        <v>6726</v>
      </c>
      <c r="D600" t="s">
        <v>277</v>
      </c>
      <c r="E600">
        <v>0</v>
      </c>
      <c r="F600" t="s">
        <v>278</v>
      </c>
      <c r="G600" t="s">
        <v>279</v>
      </c>
      <c r="H600" t="s">
        <v>280</v>
      </c>
    </row>
    <row r="601" spans="1:8" x14ac:dyDescent="0.55000000000000004">
      <c r="A601" t="s">
        <v>6760</v>
      </c>
      <c r="B601" s="7" t="str">
        <f>HYPERLINK("[#]Feature_Schema_2!A24654:F24654","WATER_MOVEMENT_DATA_LOCATION_P")</f>
        <v>WATER_MOVEMENT_DATA_LOCATION_P</v>
      </c>
      <c r="C601" t="s">
        <v>6727</v>
      </c>
      <c r="D601" t="s">
        <v>2461</v>
      </c>
      <c r="E601">
        <v>0</v>
      </c>
      <c r="F601" t="s">
        <v>2462</v>
      </c>
      <c r="G601" t="s">
        <v>2463</v>
      </c>
      <c r="H601" t="s">
        <v>2464</v>
      </c>
    </row>
    <row r="602" spans="1:8" x14ac:dyDescent="0.55000000000000004">
      <c r="A602" t="s">
        <v>6763</v>
      </c>
      <c r="B602" s="7" t="str">
        <f>HYPERLINK("[#]Feature_Schema_2!A24892:F24892","WATER_RACE_C")</f>
        <v>WATER_RACE_C</v>
      </c>
      <c r="C602" t="s">
        <v>6728</v>
      </c>
      <c r="D602" t="s">
        <v>2536</v>
      </c>
      <c r="E602">
        <v>0</v>
      </c>
      <c r="F602" t="s">
        <v>2537</v>
      </c>
      <c r="G602" t="s">
        <v>2538</v>
      </c>
      <c r="H602" t="s">
        <v>2539</v>
      </c>
    </row>
    <row r="603" spans="1:8" x14ac:dyDescent="0.55000000000000004">
      <c r="A603" t="s">
        <v>6810</v>
      </c>
      <c r="B603" s="7" t="str">
        <f>HYPERLINK("[#]Feature_Schema_2!A25064:F25064","WATER_TOWER_P")</f>
        <v>WATER_TOWER_P</v>
      </c>
      <c r="C603" t="s">
        <v>6729</v>
      </c>
      <c r="D603" t="s">
        <v>1294</v>
      </c>
      <c r="E603">
        <v>0</v>
      </c>
      <c r="F603" t="s">
        <v>1119</v>
      </c>
      <c r="G603" t="s">
        <v>1295</v>
      </c>
      <c r="H603" t="s">
        <v>1296</v>
      </c>
    </row>
    <row r="604" spans="1:8" x14ac:dyDescent="0.55000000000000004">
      <c r="A604" t="s">
        <v>6811</v>
      </c>
      <c r="B604" s="7" t="str">
        <f>HYPERLINK("[#]Feature_Schema_2!A25260:F25260","WATER_TOWER_S")</f>
        <v>WATER_TOWER_S</v>
      </c>
      <c r="C604" t="s">
        <v>6729</v>
      </c>
      <c r="D604" t="s">
        <v>1294</v>
      </c>
      <c r="E604">
        <v>0</v>
      </c>
      <c r="F604" t="s">
        <v>1119</v>
      </c>
      <c r="G604" t="s">
        <v>1295</v>
      </c>
      <c r="H604" t="s">
        <v>1296</v>
      </c>
    </row>
    <row r="605" spans="1:8" x14ac:dyDescent="0.55000000000000004">
      <c r="A605" t="s">
        <v>6744</v>
      </c>
      <c r="B605" s="7" t="str">
        <f>HYPERLINK("[#]Feature_Schema_2!A25456:F25456","WATER_TREATMENT_BED_S")</f>
        <v>WATER_TREATMENT_BED_S</v>
      </c>
      <c r="C605" t="s">
        <v>6730</v>
      </c>
      <c r="D605" t="s">
        <v>2516</v>
      </c>
      <c r="E605">
        <v>0</v>
      </c>
      <c r="F605" t="s">
        <v>2517</v>
      </c>
      <c r="G605" t="s">
        <v>2518</v>
      </c>
      <c r="H605" t="s">
        <v>2519</v>
      </c>
    </row>
    <row r="606" spans="1:8" x14ac:dyDescent="0.55000000000000004">
      <c r="A606" t="s">
        <v>6801</v>
      </c>
      <c r="B606" s="7" t="str">
        <f>HYPERLINK("[#]Feature_Schema_2!A25539:F25539","WATER_TURBULENCE_C")</f>
        <v>WATER_TURBULENCE_C</v>
      </c>
      <c r="C606" t="s">
        <v>6731</v>
      </c>
      <c r="D606" t="s">
        <v>2469</v>
      </c>
      <c r="E606">
        <v>0</v>
      </c>
      <c r="F606" t="s">
        <v>2470</v>
      </c>
      <c r="G606" t="s">
        <v>2471</v>
      </c>
      <c r="H606" t="s">
        <v>2472</v>
      </c>
    </row>
    <row r="607" spans="1:8" x14ac:dyDescent="0.55000000000000004">
      <c r="A607" t="s">
        <v>6760</v>
      </c>
      <c r="B607" s="7" t="str">
        <f>HYPERLINK("[#]Feature_Schema_2!A25585:F25585","WATER_TURBULENCE_P")</f>
        <v>WATER_TURBULENCE_P</v>
      </c>
      <c r="C607" t="s">
        <v>6731</v>
      </c>
      <c r="D607" t="s">
        <v>2469</v>
      </c>
      <c r="E607">
        <v>0</v>
      </c>
      <c r="F607" t="s">
        <v>2470</v>
      </c>
      <c r="G607" t="s">
        <v>2471</v>
      </c>
      <c r="H607" t="s">
        <v>2472</v>
      </c>
    </row>
    <row r="608" spans="1:8" x14ac:dyDescent="0.55000000000000004">
      <c r="A608" t="s">
        <v>6761</v>
      </c>
      <c r="B608" s="7" t="str">
        <f>HYPERLINK("[#]Feature_Schema_2!A25631:F25631","WATER_TURBULENCE_S")</f>
        <v>WATER_TURBULENCE_S</v>
      </c>
      <c r="C608" t="s">
        <v>6731</v>
      </c>
      <c r="D608" t="s">
        <v>2469</v>
      </c>
      <c r="E608">
        <v>0</v>
      </c>
      <c r="F608" t="s">
        <v>2470</v>
      </c>
      <c r="G608" t="s">
        <v>2471</v>
      </c>
      <c r="H608" t="s">
        <v>2472</v>
      </c>
    </row>
    <row r="609" spans="1:8" x14ac:dyDescent="0.55000000000000004">
      <c r="A609" t="s">
        <v>6762</v>
      </c>
      <c r="B609" s="7" t="str">
        <f>HYPERLINK("[#]Feature_Schema_2!A25677:F25677","WATER_WELL_AON_S")</f>
        <v>WATER_WELL_AON_S</v>
      </c>
      <c r="C609" t="s">
        <v>6732</v>
      </c>
    </row>
    <row r="610" spans="1:8" x14ac:dyDescent="0.55000000000000004">
      <c r="A610" t="s">
        <v>6792</v>
      </c>
      <c r="B610" s="7" t="str">
        <f>HYPERLINK("[#]Feature_Schema_2!A26017:F26017","WATER_WELL_P")</f>
        <v>WATER_WELL_P</v>
      </c>
      <c r="C610" t="s">
        <v>6733</v>
      </c>
      <c r="D610" t="s">
        <v>2675</v>
      </c>
      <c r="E610">
        <v>0</v>
      </c>
      <c r="F610" t="s">
        <v>2676</v>
      </c>
      <c r="G610" t="s">
        <v>2677</v>
      </c>
      <c r="H610" t="s">
        <v>2678</v>
      </c>
    </row>
    <row r="611" spans="1:8" x14ac:dyDescent="0.55000000000000004">
      <c r="A611" t="s">
        <v>6764</v>
      </c>
      <c r="B611" s="7" t="str">
        <f>HYPERLINK("[#]Feature_Schema_2!A26386:F26386","WATER_WELL_S")</f>
        <v>WATER_WELL_S</v>
      </c>
      <c r="C611" t="s">
        <v>6733</v>
      </c>
      <c r="D611" t="s">
        <v>2675</v>
      </c>
      <c r="E611">
        <v>0</v>
      </c>
      <c r="F611" t="s">
        <v>2676</v>
      </c>
      <c r="G611" t="s">
        <v>2677</v>
      </c>
      <c r="H611" t="s">
        <v>2678</v>
      </c>
    </row>
    <row r="612" spans="1:8" x14ac:dyDescent="0.55000000000000004">
      <c r="A612" t="s">
        <v>6761</v>
      </c>
      <c r="B612" s="7" t="str">
        <f>HYPERLINK("[#]Feature_Schema_2!A26755:F26755","WATERBODY_DIVIDER_S")</f>
        <v>WATERBODY_DIVIDER_S</v>
      </c>
      <c r="C612" t="s">
        <v>6734</v>
      </c>
      <c r="D612" t="s">
        <v>3552</v>
      </c>
      <c r="E612">
        <v>0</v>
      </c>
      <c r="F612" t="s">
        <v>2557</v>
      </c>
      <c r="G612" t="s">
        <v>3553</v>
      </c>
      <c r="H612" t="s">
        <v>3554</v>
      </c>
    </row>
    <row r="613" spans="1:8" x14ac:dyDescent="0.55000000000000004">
      <c r="A613" t="s">
        <v>6763</v>
      </c>
      <c r="B613" s="7" t="str">
        <f>HYPERLINK("[#]Feature_Schema_2!A26792:F26792","WATERFALL_C")</f>
        <v>WATERFALL_C</v>
      </c>
      <c r="C613" t="s">
        <v>6735</v>
      </c>
      <c r="D613" t="s">
        <v>2647</v>
      </c>
      <c r="E613">
        <v>0</v>
      </c>
      <c r="F613" t="s">
        <v>2648</v>
      </c>
      <c r="G613" t="s">
        <v>2649</v>
      </c>
      <c r="H613" t="s">
        <v>2650</v>
      </c>
    </row>
    <row r="614" spans="1:8" x14ac:dyDescent="0.55000000000000004">
      <c r="A614" t="s">
        <v>6792</v>
      </c>
      <c r="B614" s="7" t="str">
        <f>HYPERLINK("[#]Feature_Schema_2!A26834:F26834","WATERFALL_P")</f>
        <v>WATERFALL_P</v>
      </c>
      <c r="C614" t="s">
        <v>6735</v>
      </c>
      <c r="D614" t="s">
        <v>2647</v>
      </c>
      <c r="E614">
        <v>0</v>
      </c>
      <c r="F614" t="s">
        <v>2648</v>
      </c>
      <c r="G614" t="s">
        <v>2649</v>
      </c>
      <c r="H614" t="s">
        <v>2650</v>
      </c>
    </row>
    <row r="615" spans="1:8" x14ac:dyDescent="0.55000000000000004">
      <c r="A615" t="s">
        <v>6745</v>
      </c>
      <c r="B615" s="7" t="str">
        <f>HYPERLINK("[#]Feature_Schema_2!A26876:F26876","WATERWORK_P")</f>
        <v>WATERWORK_P</v>
      </c>
      <c r="C615" t="s">
        <v>6736</v>
      </c>
      <c r="D615" t="s">
        <v>2671</v>
      </c>
      <c r="E615">
        <v>0</v>
      </c>
      <c r="F615" t="s">
        <v>2672</v>
      </c>
      <c r="G615" t="s">
        <v>2673</v>
      </c>
      <c r="H615" t="s">
        <v>2674</v>
      </c>
    </row>
    <row r="616" spans="1:8" x14ac:dyDescent="0.55000000000000004">
      <c r="A616" t="s">
        <v>6746</v>
      </c>
      <c r="B616" s="7" t="str">
        <f>HYPERLINK("[#]Feature_Schema_2!A27168:F27168","WATERWORK_S")</f>
        <v>WATERWORK_S</v>
      </c>
      <c r="C616" t="s">
        <v>6736</v>
      </c>
      <c r="D616" t="s">
        <v>2671</v>
      </c>
      <c r="E616">
        <v>0</v>
      </c>
      <c r="F616" t="s">
        <v>2672</v>
      </c>
      <c r="G616" t="s">
        <v>2673</v>
      </c>
      <c r="H616" t="s">
        <v>2674</v>
      </c>
    </row>
    <row r="617" spans="1:8" x14ac:dyDescent="0.55000000000000004">
      <c r="A617" t="s">
        <v>6745</v>
      </c>
      <c r="B617" s="7" t="str">
        <f>HYPERLINK("[#]Feature_Schema_2!A27460:F27460","WIND_FARM_P")</f>
        <v>WIND_FARM_P</v>
      </c>
      <c r="C617" t="s">
        <v>6737</v>
      </c>
      <c r="D617" t="s">
        <v>165</v>
      </c>
      <c r="E617">
        <v>0</v>
      </c>
      <c r="F617" t="s">
        <v>166</v>
      </c>
      <c r="G617" t="s">
        <v>167</v>
      </c>
      <c r="H617" t="s">
        <v>168</v>
      </c>
    </row>
    <row r="618" spans="1:8" x14ac:dyDescent="0.55000000000000004">
      <c r="A618" t="s">
        <v>6746</v>
      </c>
      <c r="B618" s="7" t="str">
        <f>HYPERLINK("[#]Feature_Schema_2!A27527:F27527","WIND_FARM_S")</f>
        <v>WIND_FARM_S</v>
      </c>
      <c r="C618" t="s">
        <v>6737</v>
      </c>
      <c r="D618" t="s">
        <v>165</v>
      </c>
      <c r="E618">
        <v>0</v>
      </c>
      <c r="F618" t="s">
        <v>166</v>
      </c>
      <c r="G618" t="s">
        <v>167</v>
      </c>
      <c r="H618" t="s">
        <v>168</v>
      </c>
    </row>
    <row r="619" spans="1:8" x14ac:dyDescent="0.55000000000000004">
      <c r="A619" t="s">
        <v>6745</v>
      </c>
      <c r="B619" s="7" t="str">
        <f>HYPERLINK("[#]Feature_Schema_2!A27594:F27594","WIND_TURBINE_P")</f>
        <v>WIND_TURBINE_P</v>
      </c>
      <c r="C619" t="s">
        <v>6738</v>
      </c>
      <c r="D619" t="s">
        <v>273</v>
      </c>
      <c r="E619">
        <v>0</v>
      </c>
      <c r="F619" t="s">
        <v>274</v>
      </c>
      <c r="G619" t="s">
        <v>275</v>
      </c>
      <c r="H619" t="s">
        <v>276</v>
      </c>
    </row>
    <row r="620" spans="1:8" x14ac:dyDescent="0.55000000000000004">
      <c r="A620" t="s">
        <v>6773</v>
      </c>
      <c r="B620" s="7" t="str">
        <f>HYPERLINK("[#]Feature_Schema_2!A27707:F27707","WINDMILL_P")</f>
        <v>WINDMILL_P</v>
      </c>
      <c r="C620" t="s">
        <v>6739</v>
      </c>
      <c r="D620" t="s">
        <v>269</v>
      </c>
      <c r="E620">
        <v>0</v>
      </c>
      <c r="F620" t="s">
        <v>270</v>
      </c>
      <c r="G620" t="s">
        <v>271</v>
      </c>
      <c r="H620" t="s">
        <v>272</v>
      </c>
    </row>
    <row r="621" spans="1:8" x14ac:dyDescent="0.55000000000000004">
      <c r="A621" t="s">
        <v>6774</v>
      </c>
      <c r="B621" s="7" t="str">
        <f>HYPERLINK("[#]Feature_Schema_2!A27835:F27835","WINDMILL_S")</f>
        <v>WINDMILL_S</v>
      </c>
      <c r="C621" t="s">
        <v>6739</v>
      </c>
      <c r="D621" t="s">
        <v>269</v>
      </c>
      <c r="E621">
        <v>0</v>
      </c>
      <c r="F621" t="s">
        <v>270</v>
      </c>
      <c r="G621" t="s">
        <v>271</v>
      </c>
      <c r="H621" t="s">
        <v>272</v>
      </c>
    </row>
    <row r="622" spans="1:8" x14ac:dyDescent="0.55000000000000004">
      <c r="A622" t="s">
        <v>6760</v>
      </c>
      <c r="B622" s="7" t="str">
        <f>HYPERLINK("[#]Feature_Schema_2!A27963:F27963","WRECK_P")</f>
        <v>WRECK_P</v>
      </c>
      <c r="C622" t="s">
        <v>6740</v>
      </c>
      <c r="D622" t="s">
        <v>2393</v>
      </c>
      <c r="E622">
        <v>0</v>
      </c>
      <c r="F622" t="s">
        <v>2394</v>
      </c>
      <c r="G622" t="s">
        <v>2395</v>
      </c>
      <c r="H622" t="s">
        <v>2396</v>
      </c>
    </row>
    <row r="623" spans="1:8" x14ac:dyDescent="0.55000000000000004">
      <c r="A623" t="s">
        <v>6761</v>
      </c>
      <c r="B623" s="7" t="str">
        <f>HYPERLINK("[#]Feature_Schema_2!A28110:F28110","WRECK_S")</f>
        <v>WRECK_S</v>
      </c>
      <c r="C623" t="s">
        <v>6740</v>
      </c>
      <c r="D623" t="s">
        <v>2393</v>
      </c>
      <c r="E623">
        <v>0</v>
      </c>
      <c r="F623" t="s">
        <v>2394</v>
      </c>
      <c r="G623" t="s">
        <v>2395</v>
      </c>
      <c r="H623" t="s">
        <v>2396</v>
      </c>
    </row>
    <row r="624" spans="1:8" x14ac:dyDescent="0.55000000000000004">
      <c r="A624" t="s">
        <v>6750</v>
      </c>
      <c r="B624" s="7" t="str">
        <f>HYPERLINK("[#]Feature_Schema_2!A28257:F28257","ZOO_P")</f>
        <v>ZOO_P</v>
      </c>
      <c r="C624" t="s">
        <v>6741</v>
      </c>
      <c r="D624" t="s">
        <v>443</v>
      </c>
      <c r="E624">
        <v>0</v>
      </c>
      <c r="F624" t="s">
        <v>444</v>
      </c>
      <c r="G624" t="s">
        <v>445</v>
      </c>
      <c r="H624" t="s">
        <v>446</v>
      </c>
    </row>
    <row r="625" spans="1:8" x14ac:dyDescent="0.55000000000000004">
      <c r="A625" t="s">
        <v>6751</v>
      </c>
      <c r="B625" s="7" t="str">
        <f>HYPERLINK("[#]Feature_Schema_2!A28324:F28324","ZOO_S")</f>
        <v>ZOO_S</v>
      </c>
      <c r="C625" t="s">
        <v>6741</v>
      </c>
      <c r="D625" t="s">
        <v>443</v>
      </c>
      <c r="E625">
        <v>0</v>
      </c>
      <c r="F625" t="s">
        <v>444</v>
      </c>
      <c r="G625" t="s">
        <v>445</v>
      </c>
      <c r="H625" t="s">
        <v>446</v>
      </c>
    </row>
    <row r="626" spans="1:8" x14ac:dyDescent="0.55000000000000004">
      <c r="D626" t="s">
        <v>13</v>
      </c>
      <c r="E626">
        <v>0</v>
      </c>
      <c r="F626" t="s">
        <v>14</v>
      </c>
      <c r="G626" t="s">
        <v>15</v>
      </c>
      <c r="H626" t="s">
        <v>16</v>
      </c>
    </row>
    <row r="627" spans="1:8" x14ac:dyDescent="0.55000000000000004">
      <c r="D627" t="s">
        <v>17</v>
      </c>
      <c r="E627">
        <v>0</v>
      </c>
      <c r="F627" t="s">
        <v>18</v>
      </c>
      <c r="G627" t="s">
        <v>19</v>
      </c>
      <c r="H627" t="s">
        <v>20</v>
      </c>
    </row>
    <row r="628" spans="1:8" x14ac:dyDescent="0.55000000000000004">
      <c r="B628" s="7"/>
      <c r="D628" t="s">
        <v>25</v>
      </c>
      <c r="E628">
        <v>0</v>
      </c>
      <c r="F628" t="s">
        <v>26</v>
      </c>
      <c r="G628" t="s">
        <v>27</v>
      </c>
      <c r="H628" t="s">
        <v>28</v>
      </c>
    </row>
    <row r="629" spans="1:8" x14ac:dyDescent="0.55000000000000004">
      <c r="B629" s="7"/>
      <c r="D629" t="s">
        <v>29</v>
      </c>
      <c r="E629">
        <v>0</v>
      </c>
      <c r="F629" t="s">
        <v>30</v>
      </c>
      <c r="G629" t="s">
        <v>31</v>
      </c>
      <c r="H629" t="s">
        <v>32</v>
      </c>
    </row>
    <row r="630" spans="1:8" x14ac:dyDescent="0.55000000000000004">
      <c r="B630" s="7"/>
      <c r="D630" t="s">
        <v>37</v>
      </c>
      <c r="E630">
        <v>0</v>
      </c>
      <c r="F630" t="s">
        <v>38</v>
      </c>
      <c r="G630" t="s">
        <v>39</v>
      </c>
      <c r="H630" t="s">
        <v>40</v>
      </c>
    </row>
    <row r="631" spans="1:8" x14ac:dyDescent="0.55000000000000004">
      <c r="B631" s="7"/>
      <c r="D631" t="s">
        <v>49</v>
      </c>
      <c r="E631">
        <v>0</v>
      </c>
      <c r="F631" t="s">
        <v>50</v>
      </c>
      <c r="G631" t="s">
        <v>51</v>
      </c>
      <c r="H631" t="s">
        <v>52</v>
      </c>
    </row>
    <row r="632" spans="1:8" x14ac:dyDescent="0.55000000000000004">
      <c r="B632" s="7"/>
      <c r="D632" t="s">
        <v>53</v>
      </c>
      <c r="E632">
        <v>0</v>
      </c>
      <c r="F632" t="s">
        <v>54</v>
      </c>
      <c r="G632" t="s">
        <v>51</v>
      </c>
      <c r="H632" t="s">
        <v>55</v>
      </c>
    </row>
    <row r="633" spans="1:8" x14ac:dyDescent="0.55000000000000004">
      <c r="B633" s="7"/>
      <c r="D633" t="s">
        <v>60</v>
      </c>
      <c r="E633">
        <v>0</v>
      </c>
      <c r="F633" t="s">
        <v>61</v>
      </c>
      <c r="G633" t="s">
        <v>62</v>
      </c>
      <c r="H633" t="s">
        <v>63</v>
      </c>
    </row>
    <row r="634" spans="1:8" x14ac:dyDescent="0.55000000000000004">
      <c r="B634" s="7"/>
      <c r="D634" t="s">
        <v>72</v>
      </c>
      <c r="E634">
        <v>0</v>
      </c>
      <c r="F634" t="s">
        <v>73</v>
      </c>
      <c r="G634" t="s">
        <v>74</v>
      </c>
      <c r="H634" t="s">
        <v>75</v>
      </c>
    </row>
    <row r="635" spans="1:8" x14ac:dyDescent="0.55000000000000004">
      <c r="B635" s="7"/>
      <c r="D635" t="s">
        <v>92</v>
      </c>
      <c r="E635">
        <v>0</v>
      </c>
      <c r="F635" t="s">
        <v>93</v>
      </c>
      <c r="G635" t="s">
        <v>94</v>
      </c>
      <c r="H635" t="s">
        <v>95</v>
      </c>
    </row>
    <row r="636" spans="1:8" x14ac:dyDescent="0.55000000000000004">
      <c r="D636" t="s">
        <v>100</v>
      </c>
      <c r="E636">
        <v>0</v>
      </c>
      <c r="F636" t="s">
        <v>101</v>
      </c>
      <c r="G636" t="s">
        <v>102</v>
      </c>
      <c r="H636" t="s">
        <v>103</v>
      </c>
    </row>
    <row r="637" spans="1:8" x14ac:dyDescent="0.55000000000000004">
      <c r="B637" s="7"/>
      <c r="D637" t="s">
        <v>113</v>
      </c>
      <c r="E637">
        <v>1</v>
      </c>
      <c r="F637" t="s">
        <v>114</v>
      </c>
      <c r="G637" t="s">
        <v>115</v>
      </c>
      <c r="H637" t="s">
        <v>109</v>
      </c>
    </row>
    <row r="638" spans="1:8" x14ac:dyDescent="0.55000000000000004">
      <c r="B638" s="7"/>
      <c r="D638" t="s">
        <v>116</v>
      </c>
      <c r="E638">
        <v>2</v>
      </c>
      <c r="F638" t="s">
        <v>117</v>
      </c>
      <c r="G638" t="s">
        <v>118</v>
      </c>
      <c r="H638" t="s">
        <v>109</v>
      </c>
    </row>
    <row r="639" spans="1:8" x14ac:dyDescent="0.55000000000000004">
      <c r="B639" s="7"/>
      <c r="D639" t="s">
        <v>119</v>
      </c>
      <c r="E639">
        <v>3</v>
      </c>
      <c r="F639" t="s">
        <v>120</v>
      </c>
      <c r="G639" t="s">
        <v>121</v>
      </c>
      <c r="H639" t="s">
        <v>109</v>
      </c>
    </row>
    <row r="640" spans="1:8" x14ac:dyDescent="0.55000000000000004">
      <c r="B640" s="7"/>
      <c r="D640" t="s">
        <v>122</v>
      </c>
      <c r="E640">
        <v>4</v>
      </c>
      <c r="F640" t="s">
        <v>123</v>
      </c>
      <c r="G640" t="s">
        <v>124</v>
      </c>
      <c r="H640" t="s">
        <v>109</v>
      </c>
    </row>
    <row r="641" spans="2:8" x14ac:dyDescent="0.55000000000000004">
      <c r="B641" s="7"/>
      <c r="D641" t="s">
        <v>125</v>
      </c>
      <c r="E641">
        <v>5</v>
      </c>
      <c r="F641" t="s">
        <v>126</v>
      </c>
      <c r="G641" t="s">
        <v>127</v>
      </c>
      <c r="H641" t="s">
        <v>109</v>
      </c>
    </row>
    <row r="642" spans="2:8" x14ac:dyDescent="0.55000000000000004">
      <c r="B642" s="7"/>
      <c r="D642" t="s">
        <v>128</v>
      </c>
      <c r="E642">
        <v>6</v>
      </c>
      <c r="F642" t="s">
        <v>129</v>
      </c>
      <c r="G642" t="s">
        <v>130</v>
      </c>
      <c r="H642" t="s">
        <v>109</v>
      </c>
    </row>
    <row r="643" spans="2:8" x14ac:dyDescent="0.55000000000000004">
      <c r="B643" s="7"/>
      <c r="D643" t="s">
        <v>131</v>
      </c>
      <c r="E643">
        <v>7</v>
      </c>
      <c r="F643" t="s">
        <v>132</v>
      </c>
      <c r="G643" t="s">
        <v>133</v>
      </c>
      <c r="H643" t="s">
        <v>109</v>
      </c>
    </row>
    <row r="644" spans="2:8" x14ac:dyDescent="0.55000000000000004">
      <c r="B644" s="7"/>
      <c r="D644" t="s">
        <v>134</v>
      </c>
      <c r="E644">
        <v>999</v>
      </c>
      <c r="F644" t="s">
        <v>135</v>
      </c>
      <c r="G644" t="s">
        <v>136</v>
      </c>
      <c r="H644" t="s">
        <v>109</v>
      </c>
    </row>
    <row r="645" spans="2:8" x14ac:dyDescent="0.55000000000000004">
      <c r="B645" s="7"/>
      <c r="D645" t="s">
        <v>149</v>
      </c>
      <c r="E645">
        <v>0</v>
      </c>
      <c r="F645" t="s">
        <v>150</v>
      </c>
      <c r="G645" t="s">
        <v>151</v>
      </c>
      <c r="H645" t="s">
        <v>152</v>
      </c>
    </row>
    <row r="646" spans="2:8" x14ac:dyDescent="0.55000000000000004">
      <c r="B646" s="7"/>
      <c r="D646" t="s">
        <v>169</v>
      </c>
      <c r="E646">
        <v>0</v>
      </c>
      <c r="F646" t="s">
        <v>170</v>
      </c>
      <c r="G646" t="s">
        <v>171</v>
      </c>
      <c r="H646" t="s">
        <v>172</v>
      </c>
    </row>
    <row r="647" spans="2:8" x14ac:dyDescent="0.55000000000000004">
      <c r="B647" s="7"/>
      <c r="D647" t="s">
        <v>181</v>
      </c>
      <c r="E647">
        <v>0</v>
      </c>
      <c r="F647" t="s">
        <v>182</v>
      </c>
      <c r="G647" t="s">
        <v>183</v>
      </c>
      <c r="H647" t="s">
        <v>184</v>
      </c>
    </row>
    <row r="648" spans="2:8" x14ac:dyDescent="0.55000000000000004">
      <c r="B648" s="7"/>
      <c r="D648" t="s">
        <v>193</v>
      </c>
      <c r="E648">
        <v>0</v>
      </c>
      <c r="F648" t="s">
        <v>194</v>
      </c>
      <c r="G648" t="s">
        <v>195</v>
      </c>
      <c r="H648" t="s">
        <v>196</v>
      </c>
    </row>
    <row r="649" spans="2:8" x14ac:dyDescent="0.55000000000000004">
      <c r="B649" s="7"/>
      <c r="D649" t="s">
        <v>225</v>
      </c>
      <c r="E649">
        <v>0</v>
      </c>
      <c r="F649" t="s">
        <v>226</v>
      </c>
      <c r="G649" t="s">
        <v>227</v>
      </c>
      <c r="H649" t="s">
        <v>228</v>
      </c>
    </row>
    <row r="650" spans="2:8" x14ac:dyDescent="0.55000000000000004">
      <c r="B650" s="7"/>
      <c r="D650" t="s">
        <v>229</v>
      </c>
      <c r="E650">
        <v>0</v>
      </c>
      <c r="F650" t="s">
        <v>230</v>
      </c>
      <c r="G650" t="s">
        <v>231</v>
      </c>
      <c r="H650" t="s">
        <v>232</v>
      </c>
    </row>
    <row r="651" spans="2:8" x14ac:dyDescent="0.55000000000000004">
      <c r="B651" s="7"/>
      <c r="D651" t="s">
        <v>233</v>
      </c>
      <c r="E651">
        <v>0</v>
      </c>
      <c r="F651" t="s">
        <v>234</v>
      </c>
      <c r="G651" t="s">
        <v>235</v>
      </c>
      <c r="H651" t="s">
        <v>236</v>
      </c>
    </row>
    <row r="652" spans="2:8" x14ac:dyDescent="0.55000000000000004">
      <c r="B652" s="7"/>
      <c r="D652" t="s">
        <v>237</v>
      </c>
      <c r="E652">
        <v>0</v>
      </c>
      <c r="F652" t="s">
        <v>238</v>
      </c>
      <c r="G652" t="s">
        <v>239</v>
      </c>
      <c r="H652" t="s">
        <v>240</v>
      </c>
    </row>
    <row r="653" spans="2:8" x14ac:dyDescent="0.55000000000000004">
      <c r="B653" s="7"/>
      <c r="D653" t="s">
        <v>257</v>
      </c>
      <c r="E653">
        <v>0</v>
      </c>
      <c r="F653" t="s">
        <v>258</v>
      </c>
      <c r="G653" t="s">
        <v>259</v>
      </c>
      <c r="H653" t="s">
        <v>260</v>
      </c>
    </row>
    <row r="654" spans="2:8" x14ac:dyDescent="0.55000000000000004">
      <c r="B654" s="7"/>
      <c r="D654" t="s">
        <v>261</v>
      </c>
      <c r="E654">
        <v>0</v>
      </c>
      <c r="F654" t="s">
        <v>262</v>
      </c>
      <c r="G654" t="s">
        <v>263</v>
      </c>
      <c r="H654" t="s">
        <v>264</v>
      </c>
    </row>
    <row r="655" spans="2:8" x14ac:dyDescent="0.55000000000000004">
      <c r="B655" s="7"/>
      <c r="D655" t="s">
        <v>281</v>
      </c>
      <c r="E655">
        <v>0</v>
      </c>
      <c r="F655" t="s">
        <v>282</v>
      </c>
      <c r="G655" t="s">
        <v>283</v>
      </c>
      <c r="H655" t="s">
        <v>284</v>
      </c>
    </row>
    <row r="656" spans="2:8" x14ac:dyDescent="0.55000000000000004">
      <c r="B656" s="7"/>
      <c r="D656" t="s">
        <v>285</v>
      </c>
      <c r="E656">
        <v>0</v>
      </c>
      <c r="F656" t="s">
        <v>286</v>
      </c>
      <c r="G656" t="s">
        <v>287</v>
      </c>
      <c r="H656" t="s">
        <v>288</v>
      </c>
    </row>
    <row r="657" spans="2:8" x14ac:dyDescent="0.55000000000000004">
      <c r="B657" s="7"/>
      <c r="D657" t="s">
        <v>297</v>
      </c>
      <c r="E657">
        <v>0</v>
      </c>
      <c r="F657" t="s">
        <v>298</v>
      </c>
      <c r="G657" t="s">
        <v>299</v>
      </c>
      <c r="H657" t="s">
        <v>300</v>
      </c>
    </row>
    <row r="658" spans="2:8" x14ac:dyDescent="0.55000000000000004">
      <c r="B658" s="7"/>
      <c r="D658" t="s">
        <v>301</v>
      </c>
      <c r="E658">
        <v>0</v>
      </c>
      <c r="F658" t="s">
        <v>302</v>
      </c>
      <c r="G658" t="s">
        <v>303</v>
      </c>
      <c r="H658" t="s">
        <v>304</v>
      </c>
    </row>
    <row r="659" spans="2:8" x14ac:dyDescent="0.55000000000000004">
      <c r="B659" s="7"/>
      <c r="D659" t="s">
        <v>309</v>
      </c>
      <c r="E659">
        <v>0</v>
      </c>
      <c r="F659" t="s">
        <v>310</v>
      </c>
      <c r="G659" t="s">
        <v>311</v>
      </c>
      <c r="H659" t="s">
        <v>312</v>
      </c>
    </row>
    <row r="660" spans="2:8" x14ac:dyDescent="0.55000000000000004">
      <c r="B660" s="7"/>
      <c r="D660" t="s">
        <v>313</v>
      </c>
      <c r="E660">
        <v>0</v>
      </c>
      <c r="F660" t="s">
        <v>314</v>
      </c>
      <c r="G660" t="s">
        <v>315</v>
      </c>
      <c r="H660" t="s">
        <v>316</v>
      </c>
    </row>
    <row r="661" spans="2:8" x14ac:dyDescent="0.55000000000000004">
      <c r="B661" s="7"/>
      <c r="F661" t="s">
        <v>317</v>
      </c>
      <c r="H661" t="s">
        <v>318</v>
      </c>
    </row>
    <row r="662" spans="2:8" x14ac:dyDescent="0.55000000000000004">
      <c r="B662" s="7"/>
      <c r="D662" t="s">
        <v>319</v>
      </c>
      <c r="E662">
        <v>0</v>
      </c>
      <c r="F662" t="s">
        <v>320</v>
      </c>
      <c r="G662" t="s">
        <v>321</v>
      </c>
      <c r="H662" t="s">
        <v>322</v>
      </c>
    </row>
    <row r="663" spans="2:8" x14ac:dyDescent="0.55000000000000004">
      <c r="B663" s="7"/>
      <c r="D663" t="s">
        <v>335</v>
      </c>
      <c r="E663">
        <v>0</v>
      </c>
      <c r="F663" t="s">
        <v>336</v>
      </c>
      <c r="G663" t="s">
        <v>337</v>
      </c>
      <c r="H663" t="s">
        <v>338</v>
      </c>
    </row>
    <row r="664" spans="2:8" x14ac:dyDescent="0.55000000000000004">
      <c r="B664" s="7"/>
      <c r="D664" t="s">
        <v>339</v>
      </c>
      <c r="E664">
        <v>0</v>
      </c>
      <c r="F664" t="s">
        <v>340</v>
      </c>
      <c r="G664" t="s">
        <v>341</v>
      </c>
      <c r="H664" t="s">
        <v>342</v>
      </c>
    </row>
    <row r="665" spans="2:8" x14ac:dyDescent="0.55000000000000004">
      <c r="B665" s="7"/>
      <c r="D665" t="s">
        <v>363</v>
      </c>
      <c r="E665">
        <v>0</v>
      </c>
      <c r="F665" t="s">
        <v>364</v>
      </c>
      <c r="G665" t="s">
        <v>365</v>
      </c>
      <c r="H665" t="s">
        <v>366</v>
      </c>
    </row>
    <row r="666" spans="2:8" x14ac:dyDescent="0.55000000000000004">
      <c r="B666" s="7"/>
      <c r="D666" t="s">
        <v>387</v>
      </c>
      <c r="E666">
        <v>0</v>
      </c>
      <c r="F666" t="s">
        <v>388</v>
      </c>
      <c r="G666" t="s">
        <v>389</v>
      </c>
      <c r="H666" t="s">
        <v>390</v>
      </c>
    </row>
    <row r="667" spans="2:8" x14ac:dyDescent="0.55000000000000004">
      <c r="B667" s="7"/>
      <c r="D667" t="s">
        <v>391</v>
      </c>
      <c r="E667">
        <v>0</v>
      </c>
      <c r="F667" t="s">
        <v>392</v>
      </c>
      <c r="G667" t="s">
        <v>393</v>
      </c>
      <c r="H667" t="s">
        <v>394</v>
      </c>
    </row>
    <row r="668" spans="2:8" x14ac:dyDescent="0.55000000000000004">
      <c r="B668" s="7"/>
      <c r="D668" t="s">
        <v>395</v>
      </c>
      <c r="E668">
        <v>0</v>
      </c>
      <c r="F668" t="s">
        <v>396</v>
      </c>
      <c r="G668" t="s">
        <v>397</v>
      </c>
      <c r="H668" t="s">
        <v>398</v>
      </c>
    </row>
    <row r="669" spans="2:8" x14ac:dyDescent="0.55000000000000004">
      <c r="B669" s="7"/>
      <c r="D669" t="s">
        <v>403</v>
      </c>
      <c r="E669">
        <v>0</v>
      </c>
      <c r="F669" t="s">
        <v>404</v>
      </c>
      <c r="G669" t="s">
        <v>405</v>
      </c>
      <c r="H669" t="s">
        <v>406</v>
      </c>
    </row>
    <row r="670" spans="2:8" x14ac:dyDescent="0.55000000000000004">
      <c r="B670" s="7"/>
      <c r="D670" t="s">
        <v>407</v>
      </c>
      <c r="E670">
        <v>0</v>
      </c>
      <c r="F670" t="s">
        <v>408</v>
      </c>
      <c r="G670" t="s">
        <v>409</v>
      </c>
      <c r="H670" t="s">
        <v>410</v>
      </c>
    </row>
    <row r="671" spans="2:8" x14ac:dyDescent="0.55000000000000004">
      <c r="B671" s="7"/>
      <c r="D671" t="s">
        <v>431</v>
      </c>
      <c r="E671">
        <v>0</v>
      </c>
      <c r="F671" t="s">
        <v>432</v>
      </c>
      <c r="G671" t="s">
        <v>433</v>
      </c>
      <c r="H671" t="s">
        <v>434</v>
      </c>
    </row>
    <row r="672" spans="2:8" x14ac:dyDescent="0.55000000000000004">
      <c r="B672" s="7"/>
      <c r="D672" t="s">
        <v>435</v>
      </c>
      <c r="E672">
        <v>0</v>
      </c>
      <c r="F672" t="s">
        <v>436</v>
      </c>
      <c r="G672" t="s">
        <v>437</v>
      </c>
      <c r="H672" t="s">
        <v>438</v>
      </c>
    </row>
    <row r="673" spans="2:8" x14ac:dyDescent="0.55000000000000004">
      <c r="B673" s="7"/>
      <c r="D673" t="s">
        <v>447</v>
      </c>
      <c r="E673">
        <v>0</v>
      </c>
      <c r="F673" t="s">
        <v>448</v>
      </c>
      <c r="G673" t="s">
        <v>449</v>
      </c>
      <c r="H673" t="s">
        <v>450</v>
      </c>
    </row>
    <row r="674" spans="2:8" x14ac:dyDescent="0.55000000000000004">
      <c r="B674" s="7"/>
      <c r="D674" t="s">
        <v>451</v>
      </c>
      <c r="E674">
        <v>0</v>
      </c>
      <c r="F674" t="s">
        <v>452</v>
      </c>
      <c r="G674" t="s">
        <v>453</v>
      </c>
      <c r="H674" t="s">
        <v>454</v>
      </c>
    </row>
    <row r="675" spans="2:8" x14ac:dyDescent="0.55000000000000004">
      <c r="B675" s="7"/>
      <c r="D675" t="s">
        <v>455</v>
      </c>
      <c r="E675">
        <v>0</v>
      </c>
      <c r="F675" t="s">
        <v>456</v>
      </c>
      <c r="G675" t="s">
        <v>457</v>
      </c>
      <c r="H675" t="s">
        <v>458</v>
      </c>
    </row>
    <row r="676" spans="2:8" x14ac:dyDescent="0.55000000000000004">
      <c r="B676" s="7"/>
      <c r="D676" t="s">
        <v>459</v>
      </c>
      <c r="E676">
        <v>0</v>
      </c>
      <c r="F676" t="s">
        <v>460</v>
      </c>
      <c r="G676" t="s">
        <v>461</v>
      </c>
      <c r="H676" t="s">
        <v>462</v>
      </c>
    </row>
    <row r="677" spans="2:8" x14ac:dyDescent="0.55000000000000004">
      <c r="B677" s="7"/>
      <c r="D677" t="s">
        <v>484</v>
      </c>
      <c r="E677">
        <v>0</v>
      </c>
      <c r="F677" t="s">
        <v>485</v>
      </c>
      <c r="G677" t="s">
        <v>486</v>
      </c>
      <c r="H677" t="s">
        <v>483</v>
      </c>
    </row>
    <row r="678" spans="2:8" x14ac:dyDescent="0.55000000000000004">
      <c r="B678" s="7"/>
      <c r="D678" t="s">
        <v>487</v>
      </c>
      <c r="E678">
        <v>1</v>
      </c>
      <c r="F678" t="s">
        <v>488</v>
      </c>
      <c r="G678" t="s">
        <v>489</v>
      </c>
      <c r="H678" t="s">
        <v>483</v>
      </c>
    </row>
    <row r="679" spans="2:8" x14ac:dyDescent="0.55000000000000004">
      <c r="B679" s="7"/>
      <c r="D679" t="s">
        <v>490</v>
      </c>
      <c r="E679">
        <v>2</v>
      </c>
      <c r="F679" t="s">
        <v>491</v>
      </c>
      <c r="G679" t="s">
        <v>492</v>
      </c>
      <c r="H679" t="s">
        <v>483</v>
      </c>
    </row>
    <row r="680" spans="2:8" x14ac:dyDescent="0.55000000000000004">
      <c r="B680" s="7"/>
      <c r="D680" t="s">
        <v>493</v>
      </c>
      <c r="E680">
        <v>3</v>
      </c>
      <c r="F680" t="s">
        <v>494</v>
      </c>
      <c r="G680" t="s">
        <v>495</v>
      </c>
      <c r="H680" t="s">
        <v>483</v>
      </c>
    </row>
    <row r="681" spans="2:8" x14ac:dyDescent="0.55000000000000004">
      <c r="B681" s="7"/>
      <c r="D681" t="s">
        <v>496</v>
      </c>
      <c r="E681">
        <v>4</v>
      </c>
      <c r="F681" t="s">
        <v>497</v>
      </c>
      <c r="G681" t="s">
        <v>498</v>
      </c>
      <c r="H681" t="s">
        <v>483</v>
      </c>
    </row>
    <row r="682" spans="2:8" x14ac:dyDescent="0.55000000000000004">
      <c r="B682" s="7"/>
      <c r="D682" t="s">
        <v>499</v>
      </c>
      <c r="E682">
        <v>5</v>
      </c>
      <c r="F682" t="s">
        <v>500</v>
      </c>
      <c r="G682" t="s">
        <v>492</v>
      </c>
      <c r="H682" t="s">
        <v>483</v>
      </c>
    </row>
    <row r="683" spans="2:8" x14ac:dyDescent="0.55000000000000004">
      <c r="B683" s="7"/>
      <c r="D683" t="s">
        <v>501</v>
      </c>
      <c r="E683">
        <v>6</v>
      </c>
      <c r="F683" t="s">
        <v>502</v>
      </c>
      <c r="G683" t="s">
        <v>503</v>
      </c>
      <c r="H683" t="s">
        <v>483</v>
      </c>
    </row>
    <row r="684" spans="2:8" x14ac:dyDescent="0.55000000000000004">
      <c r="B684" s="7"/>
      <c r="D684" t="s">
        <v>504</v>
      </c>
      <c r="E684">
        <v>7</v>
      </c>
      <c r="F684" t="s">
        <v>505</v>
      </c>
      <c r="G684" t="s">
        <v>506</v>
      </c>
      <c r="H684" t="s">
        <v>483</v>
      </c>
    </row>
    <row r="685" spans="2:8" x14ac:dyDescent="0.55000000000000004">
      <c r="B685" s="7"/>
      <c r="D685" t="s">
        <v>507</v>
      </c>
      <c r="E685">
        <v>8</v>
      </c>
      <c r="F685" t="s">
        <v>508</v>
      </c>
      <c r="G685" t="s">
        <v>509</v>
      </c>
      <c r="H685" t="s">
        <v>483</v>
      </c>
    </row>
    <row r="686" spans="2:8" x14ac:dyDescent="0.55000000000000004">
      <c r="B686" s="7"/>
      <c r="D686" t="s">
        <v>510</v>
      </c>
      <c r="E686">
        <v>9</v>
      </c>
      <c r="F686" t="s">
        <v>511</v>
      </c>
      <c r="G686" t="s">
        <v>512</v>
      </c>
      <c r="H686" t="s">
        <v>483</v>
      </c>
    </row>
    <row r="687" spans="2:8" x14ac:dyDescent="0.55000000000000004">
      <c r="B687" s="7"/>
      <c r="D687" t="s">
        <v>513</v>
      </c>
      <c r="E687">
        <v>10</v>
      </c>
      <c r="F687" t="s">
        <v>514</v>
      </c>
      <c r="G687" t="s">
        <v>515</v>
      </c>
      <c r="H687" t="s">
        <v>483</v>
      </c>
    </row>
    <row r="688" spans="2:8" x14ac:dyDescent="0.55000000000000004">
      <c r="B688" s="7"/>
      <c r="D688" t="s">
        <v>516</v>
      </c>
      <c r="E688">
        <v>11</v>
      </c>
      <c r="F688" t="s">
        <v>517</v>
      </c>
      <c r="G688" t="s">
        <v>518</v>
      </c>
      <c r="H688" t="s">
        <v>483</v>
      </c>
    </row>
    <row r="689" spans="2:8" x14ac:dyDescent="0.55000000000000004">
      <c r="B689" s="7"/>
      <c r="D689" t="s">
        <v>519</v>
      </c>
      <c r="E689">
        <v>12</v>
      </c>
      <c r="F689" t="s">
        <v>520</v>
      </c>
      <c r="G689" t="s">
        <v>521</v>
      </c>
      <c r="H689" t="s">
        <v>483</v>
      </c>
    </row>
    <row r="690" spans="2:8" x14ac:dyDescent="0.55000000000000004">
      <c r="B690" s="7"/>
      <c r="D690" t="s">
        <v>522</v>
      </c>
      <c r="E690">
        <v>13</v>
      </c>
      <c r="F690" t="s">
        <v>523</v>
      </c>
      <c r="G690" t="s">
        <v>524</v>
      </c>
      <c r="H690" t="s">
        <v>483</v>
      </c>
    </row>
    <row r="691" spans="2:8" x14ac:dyDescent="0.55000000000000004">
      <c r="B691" s="7"/>
      <c r="D691" t="s">
        <v>525</v>
      </c>
      <c r="E691">
        <v>14</v>
      </c>
      <c r="F691" t="s">
        <v>526</v>
      </c>
      <c r="G691" t="s">
        <v>527</v>
      </c>
      <c r="H691" t="s">
        <v>483</v>
      </c>
    </row>
    <row r="692" spans="2:8" x14ac:dyDescent="0.55000000000000004">
      <c r="B692" s="7"/>
      <c r="D692" t="s">
        <v>528</v>
      </c>
      <c r="E692">
        <v>15</v>
      </c>
      <c r="F692" t="s">
        <v>529</v>
      </c>
      <c r="G692" t="s">
        <v>530</v>
      </c>
      <c r="H692" t="s">
        <v>483</v>
      </c>
    </row>
    <row r="693" spans="2:8" x14ac:dyDescent="0.55000000000000004">
      <c r="B693" s="7"/>
      <c r="D693" t="s">
        <v>531</v>
      </c>
      <c r="E693">
        <v>16</v>
      </c>
      <c r="F693" t="s">
        <v>532</v>
      </c>
      <c r="G693" t="s">
        <v>533</v>
      </c>
      <c r="H693" t="s">
        <v>483</v>
      </c>
    </row>
    <row r="694" spans="2:8" x14ac:dyDescent="0.55000000000000004">
      <c r="B694" s="7"/>
      <c r="D694" t="s">
        <v>534</v>
      </c>
      <c r="E694">
        <v>17</v>
      </c>
      <c r="F694" t="s">
        <v>535</v>
      </c>
      <c r="G694" t="s">
        <v>536</v>
      </c>
      <c r="H694" t="s">
        <v>483</v>
      </c>
    </row>
    <row r="695" spans="2:8" x14ac:dyDescent="0.55000000000000004">
      <c r="B695" s="7"/>
      <c r="D695" t="s">
        <v>537</v>
      </c>
      <c r="E695">
        <v>18</v>
      </c>
      <c r="F695" t="s">
        <v>538</v>
      </c>
      <c r="G695" t="s">
        <v>539</v>
      </c>
      <c r="H695" t="s">
        <v>483</v>
      </c>
    </row>
    <row r="696" spans="2:8" x14ac:dyDescent="0.55000000000000004">
      <c r="B696" s="7"/>
      <c r="D696" t="s">
        <v>540</v>
      </c>
      <c r="E696">
        <v>19</v>
      </c>
      <c r="F696" t="s">
        <v>541</v>
      </c>
      <c r="G696" t="s">
        <v>542</v>
      </c>
      <c r="H696" t="s">
        <v>483</v>
      </c>
    </row>
    <row r="697" spans="2:8" x14ac:dyDescent="0.55000000000000004">
      <c r="B697" s="7"/>
      <c r="D697" t="s">
        <v>543</v>
      </c>
      <c r="E697">
        <v>20</v>
      </c>
      <c r="F697" t="s">
        <v>306</v>
      </c>
      <c r="G697" t="s">
        <v>544</v>
      </c>
      <c r="H697" t="s">
        <v>483</v>
      </c>
    </row>
    <row r="698" spans="2:8" x14ac:dyDescent="0.55000000000000004">
      <c r="B698" s="7"/>
      <c r="D698" t="s">
        <v>545</v>
      </c>
      <c r="E698">
        <v>21</v>
      </c>
      <c r="F698" t="s">
        <v>546</v>
      </c>
      <c r="G698" t="s">
        <v>547</v>
      </c>
      <c r="H698" t="s">
        <v>483</v>
      </c>
    </row>
    <row r="699" spans="2:8" x14ac:dyDescent="0.55000000000000004">
      <c r="B699" s="7"/>
      <c r="D699" t="s">
        <v>548</v>
      </c>
      <c r="E699">
        <v>22</v>
      </c>
      <c r="F699" t="s">
        <v>549</v>
      </c>
      <c r="G699" t="s">
        <v>550</v>
      </c>
      <c r="H699" t="s">
        <v>483</v>
      </c>
    </row>
    <row r="700" spans="2:8" x14ac:dyDescent="0.55000000000000004">
      <c r="B700" s="7"/>
      <c r="D700" t="s">
        <v>551</v>
      </c>
      <c r="E700">
        <v>23</v>
      </c>
      <c r="F700" t="s">
        <v>552</v>
      </c>
      <c r="G700" t="s">
        <v>553</v>
      </c>
      <c r="H700" t="s">
        <v>483</v>
      </c>
    </row>
    <row r="701" spans="2:8" x14ac:dyDescent="0.55000000000000004">
      <c r="B701" s="7"/>
      <c r="D701" t="s">
        <v>554</v>
      </c>
      <c r="E701">
        <v>24</v>
      </c>
      <c r="F701" t="s">
        <v>555</v>
      </c>
      <c r="G701" t="s">
        <v>556</v>
      </c>
      <c r="H701" t="s">
        <v>483</v>
      </c>
    </row>
    <row r="702" spans="2:8" x14ac:dyDescent="0.55000000000000004">
      <c r="B702" s="7"/>
      <c r="D702" t="s">
        <v>557</v>
      </c>
      <c r="E702">
        <v>25</v>
      </c>
      <c r="F702" t="s">
        <v>558</v>
      </c>
      <c r="G702" t="s">
        <v>559</v>
      </c>
      <c r="H702" t="s">
        <v>483</v>
      </c>
    </row>
    <row r="703" spans="2:8" x14ac:dyDescent="0.55000000000000004">
      <c r="B703" s="7"/>
      <c r="D703" t="s">
        <v>560</v>
      </c>
      <c r="E703">
        <v>26</v>
      </c>
      <c r="F703" t="s">
        <v>561</v>
      </c>
      <c r="G703" t="s">
        <v>562</v>
      </c>
      <c r="H703" t="s">
        <v>483</v>
      </c>
    </row>
    <row r="704" spans="2:8" x14ac:dyDescent="0.55000000000000004">
      <c r="B704" s="7"/>
      <c r="D704" t="s">
        <v>563</v>
      </c>
      <c r="E704">
        <v>27</v>
      </c>
      <c r="F704" t="s">
        <v>564</v>
      </c>
      <c r="G704" t="s">
        <v>565</v>
      </c>
      <c r="H704" t="s">
        <v>483</v>
      </c>
    </row>
    <row r="705" spans="2:8" x14ac:dyDescent="0.55000000000000004">
      <c r="B705" s="7"/>
      <c r="D705" t="s">
        <v>566</v>
      </c>
      <c r="E705">
        <v>28</v>
      </c>
      <c r="F705" t="s">
        <v>567</v>
      </c>
      <c r="G705" t="s">
        <v>568</v>
      </c>
      <c r="H705" t="s">
        <v>483</v>
      </c>
    </row>
    <row r="706" spans="2:8" x14ac:dyDescent="0.55000000000000004">
      <c r="B706" s="7"/>
      <c r="D706" t="s">
        <v>569</v>
      </c>
      <c r="E706">
        <v>29</v>
      </c>
      <c r="F706" t="s">
        <v>570</v>
      </c>
      <c r="G706" t="s">
        <v>571</v>
      </c>
      <c r="H706" t="s">
        <v>483</v>
      </c>
    </row>
    <row r="707" spans="2:8" x14ac:dyDescent="0.55000000000000004">
      <c r="B707" s="7"/>
      <c r="D707" t="s">
        <v>572</v>
      </c>
      <c r="E707">
        <v>30</v>
      </c>
      <c r="F707" t="s">
        <v>573</v>
      </c>
      <c r="G707" t="s">
        <v>574</v>
      </c>
      <c r="H707" t="s">
        <v>483</v>
      </c>
    </row>
    <row r="708" spans="2:8" x14ac:dyDescent="0.55000000000000004">
      <c r="B708" s="7"/>
      <c r="D708" t="s">
        <v>575</v>
      </c>
      <c r="E708">
        <v>31</v>
      </c>
      <c r="F708" t="s">
        <v>576</v>
      </c>
      <c r="G708" t="s">
        <v>577</v>
      </c>
      <c r="H708" t="s">
        <v>483</v>
      </c>
    </row>
    <row r="709" spans="2:8" x14ac:dyDescent="0.55000000000000004">
      <c r="B709" s="7"/>
      <c r="D709" t="s">
        <v>578</v>
      </c>
      <c r="E709">
        <v>33</v>
      </c>
      <c r="F709" t="s">
        <v>579</v>
      </c>
      <c r="G709" t="s">
        <v>580</v>
      </c>
      <c r="H709" t="s">
        <v>483</v>
      </c>
    </row>
    <row r="710" spans="2:8" x14ac:dyDescent="0.55000000000000004">
      <c r="B710" s="7"/>
      <c r="D710" t="s">
        <v>581</v>
      </c>
      <c r="E710">
        <v>34</v>
      </c>
      <c r="F710" t="s">
        <v>582</v>
      </c>
      <c r="G710" t="s">
        <v>583</v>
      </c>
      <c r="H710" t="s">
        <v>483</v>
      </c>
    </row>
    <row r="711" spans="2:8" x14ac:dyDescent="0.55000000000000004">
      <c r="B711" s="7"/>
      <c r="D711" t="s">
        <v>584</v>
      </c>
      <c r="E711">
        <v>35</v>
      </c>
      <c r="F711" t="s">
        <v>585</v>
      </c>
      <c r="G711" t="s">
        <v>586</v>
      </c>
      <c r="H711" t="s">
        <v>483</v>
      </c>
    </row>
    <row r="712" spans="2:8" x14ac:dyDescent="0.55000000000000004">
      <c r="B712" s="7"/>
      <c r="D712" t="s">
        <v>587</v>
      </c>
      <c r="E712">
        <v>36</v>
      </c>
      <c r="F712" t="s">
        <v>588</v>
      </c>
      <c r="G712" t="s">
        <v>589</v>
      </c>
      <c r="H712" t="s">
        <v>483</v>
      </c>
    </row>
    <row r="713" spans="2:8" x14ac:dyDescent="0.55000000000000004">
      <c r="B713" s="7"/>
      <c r="D713" t="s">
        <v>590</v>
      </c>
      <c r="E713">
        <v>37</v>
      </c>
      <c r="F713" t="s">
        <v>591</v>
      </c>
      <c r="G713" t="s">
        <v>592</v>
      </c>
      <c r="H713" t="s">
        <v>483</v>
      </c>
    </row>
    <row r="714" spans="2:8" x14ac:dyDescent="0.55000000000000004">
      <c r="B714" s="7"/>
      <c r="D714" t="s">
        <v>593</v>
      </c>
      <c r="E714">
        <v>38</v>
      </c>
      <c r="F714" t="s">
        <v>594</v>
      </c>
      <c r="G714" t="s">
        <v>595</v>
      </c>
      <c r="H714" t="s">
        <v>483</v>
      </c>
    </row>
    <row r="715" spans="2:8" x14ac:dyDescent="0.55000000000000004">
      <c r="B715" s="7"/>
      <c r="D715" t="s">
        <v>596</v>
      </c>
      <c r="E715">
        <v>39</v>
      </c>
      <c r="F715" t="s">
        <v>597</v>
      </c>
      <c r="G715" t="s">
        <v>595</v>
      </c>
      <c r="H715" t="s">
        <v>483</v>
      </c>
    </row>
    <row r="716" spans="2:8" x14ac:dyDescent="0.55000000000000004">
      <c r="B716" s="7"/>
      <c r="D716" t="s">
        <v>598</v>
      </c>
      <c r="E716">
        <v>40</v>
      </c>
      <c r="F716" t="s">
        <v>599</v>
      </c>
      <c r="G716" t="s">
        <v>600</v>
      </c>
      <c r="H716" t="s">
        <v>483</v>
      </c>
    </row>
    <row r="717" spans="2:8" x14ac:dyDescent="0.55000000000000004">
      <c r="B717" s="7"/>
      <c r="D717" t="s">
        <v>601</v>
      </c>
      <c r="E717">
        <v>50</v>
      </c>
      <c r="F717" t="s">
        <v>602</v>
      </c>
      <c r="G717" t="s">
        <v>603</v>
      </c>
      <c r="H717" t="s">
        <v>483</v>
      </c>
    </row>
    <row r="718" spans="2:8" x14ac:dyDescent="0.55000000000000004">
      <c r="B718" s="7"/>
      <c r="D718" t="s">
        <v>604</v>
      </c>
      <c r="E718">
        <v>51</v>
      </c>
      <c r="F718" t="s">
        <v>605</v>
      </c>
      <c r="G718" t="s">
        <v>606</v>
      </c>
      <c r="H718" t="s">
        <v>483</v>
      </c>
    </row>
    <row r="719" spans="2:8" x14ac:dyDescent="0.55000000000000004">
      <c r="B719" s="7"/>
      <c r="D719" t="s">
        <v>607</v>
      </c>
      <c r="E719">
        <v>52</v>
      </c>
      <c r="F719" t="s">
        <v>608</v>
      </c>
      <c r="G719" t="s">
        <v>609</v>
      </c>
      <c r="H719" t="s">
        <v>483</v>
      </c>
    </row>
    <row r="720" spans="2:8" x14ac:dyDescent="0.55000000000000004">
      <c r="B720" s="7"/>
      <c r="D720" t="s">
        <v>610</v>
      </c>
      <c r="E720">
        <v>53</v>
      </c>
      <c r="F720" t="s">
        <v>611</v>
      </c>
      <c r="G720" t="s">
        <v>612</v>
      </c>
      <c r="H720" t="s">
        <v>483</v>
      </c>
    </row>
    <row r="721" spans="2:8" x14ac:dyDescent="0.55000000000000004">
      <c r="B721" s="7"/>
      <c r="D721" t="s">
        <v>613</v>
      </c>
      <c r="E721">
        <v>54</v>
      </c>
      <c r="F721" t="s">
        <v>614</v>
      </c>
      <c r="G721" t="s">
        <v>612</v>
      </c>
      <c r="H721" t="s">
        <v>483</v>
      </c>
    </row>
    <row r="722" spans="2:8" x14ac:dyDescent="0.55000000000000004">
      <c r="B722" s="7"/>
      <c r="D722" t="s">
        <v>615</v>
      </c>
      <c r="E722">
        <v>55</v>
      </c>
      <c r="F722" t="s">
        <v>616</v>
      </c>
      <c r="G722" t="s">
        <v>617</v>
      </c>
      <c r="H722" t="s">
        <v>483</v>
      </c>
    </row>
    <row r="723" spans="2:8" x14ac:dyDescent="0.55000000000000004">
      <c r="B723" s="7"/>
      <c r="D723" t="s">
        <v>618</v>
      </c>
      <c r="E723">
        <v>56</v>
      </c>
      <c r="F723" t="s">
        <v>619</v>
      </c>
      <c r="G723" t="s">
        <v>620</v>
      </c>
      <c r="H723" t="s">
        <v>483</v>
      </c>
    </row>
    <row r="724" spans="2:8" x14ac:dyDescent="0.55000000000000004">
      <c r="B724" s="7"/>
      <c r="D724" t="s">
        <v>621</v>
      </c>
      <c r="E724">
        <v>57</v>
      </c>
      <c r="F724" t="s">
        <v>622</v>
      </c>
      <c r="G724" t="s">
        <v>623</v>
      </c>
      <c r="H724" t="s">
        <v>483</v>
      </c>
    </row>
    <row r="725" spans="2:8" x14ac:dyDescent="0.55000000000000004">
      <c r="B725" s="7"/>
      <c r="D725" t="s">
        <v>624</v>
      </c>
      <c r="E725">
        <v>58</v>
      </c>
      <c r="F725" t="s">
        <v>625</v>
      </c>
      <c r="G725" t="s">
        <v>626</v>
      </c>
      <c r="H725" t="s">
        <v>483</v>
      </c>
    </row>
    <row r="726" spans="2:8" x14ac:dyDescent="0.55000000000000004">
      <c r="B726" s="7"/>
      <c r="D726" t="s">
        <v>627</v>
      </c>
      <c r="E726">
        <v>59</v>
      </c>
      <c r="F726" t="s">
        <v>628</v>
      </c>
      <c r="G726" t="s">
        <v>629</v>
      </c>
      <c r="H726" t="s">
        <v>483</v>
      </c>
    </row>
    <row r="727" spans="2:8" x14ac:dyDescent="0.55000000000000004">
      <c r="B727" s="7"/>
      <c r="D727" t="s">
        <v>630</v>
      </c>
      <c r="E727">
        <v>60</v>
      </c>
      <c r="F727" t="s">
        <v>631</v>
      </c>
      <c r="G727" t="s">
        <v>632</v>
      </c>
      <c r="H727" t="s">
        <v>483</v>
      </c>
    </row>
    <row r="728" spans="2:8" x14ac:dyDescent="0.55000000000000004">
      <c r="B728" s="7"/>
      <c r="D728" t="s">
        <v>633</v>
      </c>
      <c r="E728">
        <v>61</v>
      </c>
      <c r="F728" t="s">
        <v>634</v>
      </c>
      <c r="G728" t="s">
        <v>635</v>
      </c>
      <c r="H728" t="s">
        <v>483</v>
      </c>
    </row>
    <row r="729" spans="2:8" x14ac:dyDescent="0.55000000000000004">
      <c r="B729" s="7"/>
      <c r="D729" t="s">
        <v>636</v>
      </c>
      <c r="E729">
        <v>62</v>
      </c>
      <c r="F729" t="s">
        <v>637</v>
      </c>
      <c r="G729" t="s">
        <v>638</v>
      </c>
      <c r="H729" t="s">
        <v>483</v>
      </c>
    </row>
    <row r="730" spans="2:8" x14ac:dyDescent="0.55000000000000004">
      <c r="B730" s="7"/>
      <c r="D730" t="s">
        <v>639</v>
      </c>
      <c r="E730">
        <v>63</v>
      </c>
      <c r="F730" t="s">
        <v>640</v>
      </c>
      <c r="G730" t="s">
        <v>641</v>
      </c>
      <c r="H730" t="s">
        <v>483</v>
      </c>
    </row>
    <row r="731" spans="2:8" x14ac:dyDescent="0.55000000000000004">
      <c r="B731" s="7"/>
      <c r="D731" t="s">
        <v>642</v>
      </c>
      <c r="E731">
        <v>64</v>
      </c>
      <c r="F731" t="s">
        <v>643</v>
      </c>
      <c r="G731" t="s">
        <v>644</v>
      </c>
      <c r="H731" t="s">
        <v>483</v>
      </c>
    </row>
    <row r="732" spans="2:8" x14ac:dyDescent="0.55000000000000004">
      <c r="B732" s="7"/>
      <c r="D732" t="s">
        <v>645</v>
      </c>
      <c r="E732">
        <v>65</v>
      </c>
      <c r="F732" t="s">
        <v>646</v>
      </c>
      <c r="G732" t="s">
        <v>647</v>
      </c>
      <c r="H732" t="s">
        <v>483</v>
      </c>
    </row>
    <row r="733" spans="2:8" x14ac:dyDescent="0.55000000000000004">
      <c r="B733" s="7"/>
      <c r="D733" t="s">
        <v>648</v>
      </c>
      <c r="E733">
        <v>66</v>
      </c>
      <c r="F733" t="s">
        <v>649</v>
      </c>
      <c r="G733" t="s">
        <v>650</v>
      </c>
      <c r="H733" t="s">
        <v>483</v>
      </c>
    </row>
    <row r="734" spans="2:8" x14ac:dyDescent="0.55000000000000004">
      <c r="B734" s="7"/>
      <c r="D734" t="s">
        <v>651</v>
      </c>
      <c r="E734">
        <v>67</v>
      </c>
      <c r="F734" t="s">
        <v>652</v>
      </c>
      <c r="G734" t="s">
        <v>653</v>
      </c>
      <c r="H734" t="s">
        <v>483</v>
      </c>
    </row>
    <row r="735" spans="2:8" x14ac:dyDescent="0.55000000000000004">
      <c r="B735" s="7"/>
      <c r="D735" t="s">
        <v>654</v>
      </c>
      <c r="E735">
        <v>68</v>
      </c>
      <c r="F735" t="s">
        <v>655</v>
      </c>
      <c r="G735" t="s">
        <v>656</v>
      </c>
      <c r="H735" t="s">
        <v>483</v>
      </c>
    </row>
    <row r="736" spans="2:8" x14ac:dyDescent="0.55000000000000004">
      <c r="B736" s="7"/>
      <c r="D736" t="s">
        <v>657</v>
      </c>
      <c r="E736">
        <v>69</v>
      </c>
      <c r="F736" t="s">
        <v>658</v>
      </c>
      <c r="G736" t="s">
        <v>659</v>
      </c>
      <c r="H736" t="s">
        <v>483</v>
      </c>
    </row>
    <row r="737" spans="2:8" x14ac:dyDescent="0.55000000000000004">
      <c r="B737" s="7"/>
      <c r="D737" t="s">
        <v>660</v>
      </c>
      <c r="E737">
        <v>70</v>
      </c>
      <c r="F737" t="s">
        <v>661</v>
      </c>
      <c r="G737" t="s">
        <v>662</v>
      </c>
      <c r="H737" t="s">
        <v>483</v>
      </c>
    </row>
    <row r="738" spans="2:8" x14ac:dyDescent="0.55000000000000004">
      <c r="B738" s="7"/>
      <c r="D738" t="s">
        <v>663</v>
      </c>
      <c r="E738">
        <v>71</v>
      </c>
      <c r="F738" t="s">
        <v>664</v>
      </c>
      <c r="G738" t="s">
        <v>665</v>
      </c>
      <c r="H738" t="s">
        <v>483</v>
      </c>
    </row>
    <row r="739" spans="2:8" x14ac:dyDescent="0.55000000000000004">
      <c r="B739" s="7"/>
      <c r="D739" t="s">
        <v>666</v>
      </c>
      <c r="E739">
        <v>72</v>
      </c>
      <c r="F739" t="s">
        <v>667</v>
      </c>
      <c r="G739" t="s">
        <v>668</v>
      </c>
      <c r="H739" t="s">
        <v>483</v>
      </c>
    </row>
    <row r="740" spans="2:8" x14ac:dyDescent="0.55000000000000004">
      <c r="B740" s="7"/>
      <c r="D740" t="s">
        <v>669</v>
      </c>
      <c r="E740">
        <v>73</v>
      </c>
      <c r="F740" t="s">
        <v>670</v>
      </c>
      <c r="G740" t="s">
        <v>671</v>
      </c>
      <c r="H740" t="s">
        <v>483</v>
      </c>
    </row>
    <row r="741" spans="2:8" x14ac:dyDescent="0.55000000000000004">
      <c r="B741" s="7"/>
      <c r="D741" t="s">
        <v>672</v>
      </c>
      <c r="E741">
        <v>74</v>
      </c>
      <c r="F741" t="s">
        <v>673</v>
      </c>
      <c r="G741" t="s">
        <v>674</v>
      </c>
      <c r="H741" t="s">
        <v>483</v>
      </c>
    </row>
    <row r="742" spans="2:8" x14ac:dyDescent="0.55000000000000004">
      <c r="B742" s="7"/>
      <c r="D742" t="s">
        <v>675</v>
      </c>
      <c r="E742">
        <v>75</v>
      </c>
      <c r="F742" t="s">
        <v>676</v>
      </c>
      <c r="G742" t="s">
        <v>677</v>
      </c>
      <c r="H742" t="s">
        <v>483</v>
      </c>
    </row>
    <row r="743" spans="2:8" x14ac:dyDescent="0.55000000000000004">
      <c r="B743" s="7"/>
      <c r="D743" t="s">
        <v>678</v>
      </c>
      <c r="E743">
        <v>76</v>
      </c>
      <c r="F743" t="s">
        <v>679</v>
      </c>
      <c r="G743" t="s">
        <v>680</v>
      </c>
      <c r="H743" t="s">
        <v>483</v>
      </c>
    </row>
    <row r="744" spans="2:8" x14ac:dyDescent="0.55000000000000004">
      <c r="B744" s="7"/>
      <c r="D744" t="s">
        <v>681</v>
      </c>
      <c r="E744">
        <v>77</v>
      </c>
      <c r="F744" t="s">
        <v>682</v>
      </c>
      <c r="G744" t="s">
        <v>683</v>
      </c>
      <c r="H744" t="s">
        <v>483</v>
      </c>
    </row>
    <row r="745" spans="2:8" x14ac:dyDescent="0.55000000000000004">
      <c r="B745" s="7"/>
      <c r="D745" t="s">
        <v>684</v>
      </c>
      <c r="E745">
        <v>78</v>
      </c>
      <c r="F745" t="s">
        <v>685</v>
      </c>
      <c r="G745" t="s">
        <v>686</v>
      </c>
      <c r="H745" t="s">
        <v>483</v>
      </c>
    </row>
    <row r="746" spans="2:8" x14ac:dyDescent="0.55000000000000004">
      <c r="B746" s="7"/>
      <c r="D746" t="s">
        <v>687</v>
      </c>
      <c r="E746">
        <v>79</v>
      </c>
      <c r="F746" t="s">
        <v>688</v>
      </c>
      <c r="G746" t="s">
        <v>683</v>
      </c>
      <c r="H746" t="s">
        <v>483</v>
      </c>
    </row>
    <row r="747" spans="2:8" x14ac:dyDescent="0.55000000000000004">
      <c r="B747" s="7"/>
      <c r="D747" t="s">
        <v>689</v>
      </c>
      <c r="E747">
        <v>80</v>
      </c>
      <c r="F747" t="s">
        <v>690</v>
      </c>
      <c r="G747" t="s">
        <v>683</v>
      </c>
      <c r="H747" t="s">
        <v>483</v>
      </c>
    </row>
    <row r="748" spans="2:8" x14ac:dyDescent="0.55000000000000004">
      <c r="B748" s="7"/>
      <c r="D748" t="s">
        <v>691</v>
      </c>
      <c r="E748">
        <v>81</v>
      </c>
      <c r="F748" t="s">
        <v>692</v>
      </c>
      <c r="G748" t="s">
        <v>683</v>
      </c>
      <c r="H748" t="s">
        <v>483</v>
      </c>
    </row>
    <row r="749" spans="2:8" x14ac:dyDescent="0.55000000000000004">
      <c r="B749" s="7"/>
      <c r="D749" t="s">
        <v>693</v>
      </c>
      <c r="E749">
        <v>82</v>
      </c>
      <c r="F749" t="s">
        <v>694</v>
      </c>
      <c r="G749" t="s">
        <v>695</v>
      </c>
      <c r="H749" t="s">
        <v>483</v>
      </c>
    </row>
    <row r="750" spans="2:8" x14ac:dyDescent="0.55000000000000004">
      <c r="B750" s="7"/>
      <c r="D750" t="s">
        <v>696</v>
      </c>
      <c r="E750">
        <v>83</v>
      </c>
      <c r="F750" t="s">
        <v>697</v>
      </c>
      <c r="G750" t="s">
        <v>698</v>
      </c>
      <c r="H750" t="s">
        <v>483</v>
      </c>
    </row>
    <row r="751" spans="2:8" x14ac:dyDescent="0.55000000000000004">
      <c r="B751" s="7"/>
      <c r="D751" t="s">
        <v>699</v>
      </c>
      <c r="E751">
        <v>84</v>
      </c>
      <c r="F751" t="s">
        <v>700</v>
      </c>
      <c r="G751" t="s">
        <v>701</v>
      </c>
      <c r="H751" t="s">
        <v>483</v>
      </c>
    </row>
    <row r="752" spans="2:8" x14ac:dyDescent="0.55000000000000004">
      <c r="B752" s="7"/>
      <c r="D752" t="s">
        <v>702</v>
      </c>
      <c r="E752">
        <v>85</v>
      </c>
      <c r="F752" t="s">
        <v>703</v>
      </c>
      <c r="G752" t="s">
        <v>704</v>
      </c>
      <c r="H752" t="s">
        <v>483</v>
      </c>
    </row>
    <row r="753" spans="2:8" x14ac:dyDescent="0.55000000000000004">
      <c r="B753" s="7"/>
      <c r="D753" t="s">
        <v>705</v>
      </c>
      <c r="E753">
        <v>86</v>
      </c>
      <c r="F753" t="s">
        <v>706</v>
      </c>
      <c r="G753" t="s">
        <v>707</v>
      </c>
      <c r="H753" t="s">
        <v>483</v>
      </c>
    </row>
    <row r="754" spans="2:8" x14ac:dyDescent="0.55000000000000004">
      <c r="B754" s="7"/>
      <c r="D754" t="s">
        <v>708</v>
      </c>
      <c r="E754">
        <v>87</v>
      </c>
      <c r="F754" t="s">
        <v>709</v>
      </c>
      <c r="G754" t="s">
        <v>710</v>
      </c>
      <c r="H754" t="s">
        <v>483</v>
      </c>
    </row>
    <row r="755" spans="2:8" x14ac:dyDescent="0.55000000000000004">
      <c r="B755" s="7"/>
      <c r="D755" t="s">
        <v>711</v>
      </c>
      <c r="E755">
        <v>88</v>
      </c>
      <c r="F755" t="s">
        <v>712</v>
      </c>
      <c r="G755" t="s">
        <v>713</v>
      </c>
      <c r="H755" t="s">
        <v>483</v>
      </c>
    </row>
    <row r="756" spans="2:8" x14ac:dyDescent="0.55000000000000004">
      <c r="B756" s="7"/>
      <c r="D756" t="s">
        <v>714</v>
      </c>
      <c r="E756">
        <v>89</v>
      </c>
      <c r="F756" t="s">
        <v>715</v>
      </c>
      <c r="G756" t="s">
        <v>716</v>
      </c>
      <c r="H756" t="s">
        <v>483</v>
      </c>
    </row>
    <row r="757" spans="2:8" x14ac:dyDescent="0.55000000000000004">
      <c r="B757" s="7"/>
      <c r="D757" t="s">
        <v>717</v>
      </c>
      <c r="E757">
        <v>90</v>
      </c>
      <c r="F757" t="s">
        <v>718</v>
      </c>
      <c r="G757" t="s">
        <v>719</v>
      </c>
      <c r="H757" t="s">
        <v>483</v>
      </c>
    </row>
    <row r="758" spans="2:8" x14ac:dyDescent="0.55000000000000004">
      <c r="B758" s="7"/>
      <c r="D758" t="s">
        <v>720</v>
      </c>
      <c r="E758">
        <v>91</v>
      </c>
      <c r="F758" t="s">
        <v>721</v>
      </c>
      <c r="G758" t="s">
        <v>722</v>
      </c>
      <c r="H758" t="s">
        <v>483</v>
      </c>
    </row>
    <row r="759" spans="2:8" x14ac:dyDescent="0.55000000000000004">
      <c r="B759" s="7"/>
      <c r="D759" t="s">
        <v>723</v>
      </c>
      <c r="E759">
        <v>92</v>
      </c>
      <c r="F759" t="s">
        <v>724</v>
      </c>
      <c r="G759" t="s">
        <v>725</v>
      </c>
      <c r="H759" t="s">
        <v>483</v>
      </c>
    </row>
    <row r="760" spans="2:8" x14ac:dyDescent="0.55000000000000004">
      <c r="B760" s="7"/>
      <c r="D760" t="s">
        <v>726</v>
      </c>
      <c r="E760">
        <v>93</v>
      </c>
      <c r="F760" t="s">
        <v>727</v>
      </c>
      <c r="G760" t="s">
        <v>683</v>
      </c>
      <c r="H760" t="s">
        <v>483</v>
      </c>
    </row>
    <row r="761" spans="2:8" x14ac:dyDescent="0.55000000000000004">
      <c r="B761" s="7"/>
      <c r="D761" t="s">
        <v>728</v>
      </c>
      <c r="E761">
        <v>94</v>
      </c>
      <c r="F761" t="s">
        <v>729</v>
      </c>
      <c r="G761" t="s">
        <v>730</v>
      </c>
      <c r="H761" t="s">
        <v>483</v>
      </c>
    </row>
    <row r="762" spans="2:8" x14ac:dyDescent="0.55000000000000004">
      <c r="B762" s="7"/>
      <c r="D762" t="s">
        <v>731</v>
      </c>
      <c r="E762">
        <v>95</v>
      </c>
      <c r="F762" t="s">
        <v>732</v>
      </c>
      <c r="G762" t="s">
        <v>733</v>
      </c>
      <c r="H762" t="s">
        <v>483</v>
      </c>
    </row>
    <row r="763" spans="2:8" x14ac:dyDescent="0.55000000000000004">
      <c r="B763" s="7"/>
      <c r="D763" t="s">
        <v>734</v>
      </c>
      <c r="E763">
        <v>96</v>
      </c>
      <c r="F763" t="s">
        <v>735</v>
      </c>
      <c r="G763" t="s">
        <v>736</v>
      </c>
      <c r="H763" t="s">
        <v>483</v>
      </c>
    </row>
    <row r="764" spans="2:8" x14ac:dyDescent="0.55000000000000004">
      <c r="B764" s="7"/>
      <c r="D764" t="s">
        <v>737</v>
      </c>
      <c r="E764">
        <v>97</v>
      </c>
      <c r="F764" t="s">
        <v>738</v>
      </c>
      <c r="G764" t="s">
        <v>739</v>
      </c>
      <c r="H764" t="s">
        <v>483</v>
      </c>
    </row>
    <row r="765" spans="2:8" x14ac:dyDescent="0.55000000000000004">
      <c r="B765" s="7"/>
      <c r="D765" t="s">
        <v>740</v>
      </c>
      <c r="E765">
        <v>98</v>
      </c>
      <c r="F765" t="s">
        <v>741</v>
      </c>
      <c r="G765" t="s">
        <v>742</v>
      </c>
      <c r="H765" t="s">
        <v>483</v>
      </c>
    </row>
    <row r="766" spans="2:8" x14ac:dyDescent="0.55000000000000004">
      <c r="B766" s="7"/>
      <c r="D766" t="s">
        <v>743</v>
      </c>
      <c r="E766">
        <v>99</v>
      </c>
      <c r="F766" t="s">
        <v>744</v>
      </c>
      <c r="G766" t="s">
        <v>745</v>
      </c>
      <c r="H766" t="s">
        <v>483</v>
      </c>
    </row>
    <row r="767" spans="2:8" x14ac:dyDescent="0.55000000000000004">
      <c r="B767" s="7"/>
      <c r="D767" t="s">
        <v>746</v>
      </c>
      <c r="E767">
        <v>100</v>
      </c>
      <c r="F767" t="s">
        <v>747</v>
      </c>
      <c r="G767" t="s">
        <v>748</v>
      </c>
      <c r="H767" t="s">
        <v>483</v>
      </c>
    </row>
    <row r="768" spans="2:8" x14ac:dyDescent="0.55000000000000004">
      <c r="B768" s="7"/>
      <c r="D768" t="s">
        <v>749</v>
      </c>
      <c r="E768">
        <v>101</v>
      </c>
      <c r="F768" t="s">
        <v>750</v>
      </c>
      <c r="G768" t="s">
        <v>751</v>
      </c>
      <c r="H768" t="s">
        <v>483</v>
      </c>
    </row>
    <row r="769" spans="2:8" x14ac:dyDescent="0.55000000000000004">
      <c r="B769" s="7"/>
      <c r="D769" t="s">
        <v>752</v>
      </c>
      <c r="E769">
        <v>102</v>
      </c>
      <c r="F769" t="s">
        <v>753</v>
      </c>
      <c r="G769" t="s">
        <v>754</v>
      </c>
      <c r="H769" t="s">
        <v>483</v>
      </c>
    </row>
    <row r="770" spans="2:8" x14ac:dyDescent="0.55000000000000004">
      <c r="B770" s="7"/>
      <c r="D770" t="s">
        <v>755</v>
      </c>
      <c r="E770">
        <v>103</v>
      </c>
      <c r="F770" t="s">
        <v>756</v>
      </c>
      <c r="G770" t="s">
        <v>757</v>
      </c>
      <c r="H770" t="s">
        <v>483</v>
      </c>
    </row>
    <row r="771" spans="2:8" x14ac:dyDescent="0.55000000000000004">
      <c r="B771" s="7"/>
      <c r="D771" t="s">
        <v>758</v>
      </c>
      <c r="E771">
        <v>104</v>
      </c>
      <c r="F771" t="s">
        <v>759</v>
      </c>
      <c r="G771" t="s">
        <v>760</v>
      </c>
      <c r="H771" t="s">
        <v>483</v>
      </c>
    </row>
    <row r="772" spans="2:8" x14ac:dyDescent="0.55000000000000004">
      <c r="B772" s="7"/>
      <c r="D772" t="s">
        <v>761</v>
      </c>
      <c r="E772">
        <v>105</v>
      </c>
      <c r="F772" t="s">
        <v>762</v>
      </c>
      <c r="G772" t="s">
        <v>763</v>
      </c>
      <c r="H772" t="s">
        <v>483</v>
      </c>
    </row>
    <row r="773" spans="2:8" x14ac:dyDescent="0.55000000000000004">
      <c r="B773" s="7"/>
      <c r="D773" t="s">
        <v>764</v>
      </c>
      <c r="E773">
        <v>106</v>
      </c>
      <c r="F773" t="s">
        <v>765</v>
      </c>
      <c r="G773" t="s">
        <v>766</v>
      </c>
      <c r="H773" t="s">
        <v>483</v>
      </c>
    </row>
    <row r="774" spans="2:8" x14ac:dyDescent="0.55000000000000004">
      <c r="B774" s="7"/>
      <c r="D774" t="s">
        <v>767</v>
      </c>
      <c r="E774">
        <v>107</v>
      </c>
      <c r="F774" t="s">
        <v>768</v>
      </c>
      <c r="G774" t="s">
        <v>769</v>
      </c>
      <c r="H774" t="s">
        <v>483</v>
      </c>
    </row>
    <row r="775" spans="2:8" x14ac:dyDescent="0.55000000000000004">
      <c r="B775" s="7"/>
      <c r="D775" t="s">
        <v>770</v>
      </c>
      <c r="E775">
        <v>108</v>
      </c>
      <c r="F775" t="s">
        <v>771</v>
      </c>
      <c r="G775" t="s">
        <v>772</v>
      </c>
      <c r="H775" t="s">
        <v>483</v>
      </c>
    </row>
    <row r="776" spans="2:8" x14ac:dyDescent="0.55000000000000004">
      <c r="B776" s="7"/>
      <c r="D776" t="s">
        <v>773</v>
      </c>
      <c r="E776">
        <v>109</v>
      </c>
      <c r="F776" t="s">
        <v>774</v>
      </c>
      <c r="G776" t="s">
        <v>775</v>
      </c>
      <c r="H776" t="s">
        <v>483</v>
      </c>
    </row>
    <row r="777" spans="2:8" x14ac:dyDescent="0.55000000000000004">
      <c r="B777" s="7"/>
      <c r="D777" t="s">
        <v>776</v>
      </c>
      <c r="E777">
        <v>110</v>
      </c>
      <c r="F777" t="s">
        <v>777</v>
      </c>
      <c r="G777" t="s">
        <v>778</v>
      </c>
      <c r="H777" t="s">
        <v>483</v>
      </c>
    </row>
    <row r="778" spans="2:8" x14ac:dyDescent="0.55000000000000004">
      <c r="B778" s="7"/>
      <c r="D778" t="s">
        <v>779</v>
      </c>
      <c r="E778">
        <v>111</v>
      </c>
      <c r="F778" t="s">
        <v>780</v>
      </c>
      <c r="G778" t="s">
        <v>781</v>
      </c>
      <c r="H778" t="s">
        <v>483</v>
      </c>
    </row>
    <row r="779" spans="2:8" x14ac:dyDescent="0.55000000000000004">
      <c r="B779" s="7"/>
      <c r="D779" t="s">
        <v>782</v>
      </c>
      <c r="E779">
        <v>112</v>
      </c>
      <c r="F779" t="s">
        <v>783</v>
      </c>
      <c r="G779" t="s">
        <v>784</v>
      </c>
      <c r="H779" t="s">
        <v>483</v>
      </c>
    </row>
    <row r="780" spans="2:8" x14ac:dyDescent="0.55000000000000004">
      <c r="B780" s="7"/>
      <c r="D780" t="s">
        <v>785</v>
      </c>
      <c r="E780">
        <v>113</v>
      </c>
      <c r="F780" t="s">
        <v>786</v>
      </c>
      <c r="G780" t="s">
        <v>787</v>
      </c>
      <c r="H780" t="s">
        <v>483</v>
      </c>
    </row>
    <row r="781" spans="2:8" x14ac:dyDescent="0.55000000000000004">
      <c r="B781" s="7"/>
      <c r="D781" t="s">
        <v>788</v>
      </c>
      <c r="E781">
        <v>114</v>
      </c>
      <c r="F781" t="s">
        <v>789</v>
      </c>
      <c r="G781" t="s">
        <v>506</v>
      </c>
      <c r="H781" t="s">
        <v>483</v>
      </c>
    </row>
    <row r="782" spans="2:8" x14ac:dyDescent="0.55000000000000004">
      <c r="B782" s="7"/>
      <c r="D782" t="s">
        <v>790</v>
      </c>
      <c r="E782">
        <v>115</v>
      </c>
      <c r="F782" t="s">
        <v>791</v>
      </c>
      <c r="G782" t="s">
        <v>792</v>
      </c>
      <c r="H782" t="s">
        <v>483</v>
      </c>
    </row>
    <row r="783" spans="2:8" x14ac:dyDescent="0.55000000000000004">
      <c r="B783" s="7"/>
      <c r="D783" t="s">
        <v>793</v>
      </c>
      <c r="E783">
        <v>116</v>
      </c>
      <c r="F783" t="s">
        <v>794</v>
      </c>
      <c r="G783" t="s">
        <v>795</v>
      </c>
      <c r="H783" t="s">
        <v>483</v>
      </c>
    </row>
    <row r="784" spans="2:8" x14ac:dyDescent="0.55000000000000004">
      <c r="B784" s="7"/>
      <c r="D784" t="s">
        <v>796</v>
      </c>
      <c r="E784">
        <v>117</v>
      </c>
      <c r="F784" t="s">
        <v>797</v>
      </c>
      <c r="G784" t="s">
        <v>798</v>
      </c>
      <c r="H784" t="s">
        <v>483</v>
      </c>
    </row>
    <row r="785" spans="2:8" x14ac:dyDescent="0.55000000000000004">
      <c r="B785" s="7"/>
      <c r="D785" t="s">
        <v>799</v>
      </c>
      <c r="E785">
        <v>118</v>
      </c>
      <c r="F785" t="s">
        <v>800</v>
      </c>
      <c r="G785" t="s">
        <v>801</v>
      </c>
      <c r="H785" t="s">
        <v>483</v>
      </c>
    </row>
    <row r="786" spans="2:8" x14ac:dyDescent="0.55000000000000004">
      <c r="B786" s="7"/>
      <c r="D786" t="s">
        <v>802</v>
      </c>
      <c r="E786">
        <v>119</v>
      </c>
      <c r="F786" t="s">
        <v>803</v>
      </c>
      <c r="G786" t="s">
        <v>804</v>
      </c>
      <c r="H786" t="s">
        <v>483</v>
      </c>
    </row>
    <row r="787" spans="2:8" x14ac:dyDescent="0.55000000000000004">
      <c r="B787" s="7"/>
      <c r="D787" t="s">
        <v>805</v>
      </c>
      <c r="E787">
        <v>120</v>
      </c>
      <c r="F787" t="s">
        <v>806</v>
      </c>
      <c r="G787" t="s">
        <v>807</v>
      </c>
      <c r="H787" t="s">
        <v>483</v>
      </c>
    </row>
    <row r="788" spans="2:8" x14ac:dyDescent="0.55000000000000004">
      <c r="B788" s="7"/>
      <c r="D788" t="s">
        <v>808</v>
      </c>
      <c r="E788">
        <v>121</v>
      </c>
      <c r="F788" t="s">
        <v>809</v>
      </c>
      <c r="G788" t="s">
        <v>810</v>
      </c>
      <c r="H788" t="s">
        <v>483</v>
      </c>
    </row>
    <row r="789" spans="2:8" x14ac:dyDescent="0.55000000000000004">
      <c r="B789" s="7"/>
      <c r="D789" t="s">
        <v>811</v>
      </c>
      <c r="E789">
        <v>122</v>
      </c>
      <c r="F789" t="s">
        <v>812</v>
      </c>
      <c r="G789" t="s">
        <v>813</v>
      </c>
      <c r="H789" t="s">
        <v>483</v>
      </c>
    </row>
    <row r="790" spans="2:8" x14ac:dyDescent="0.55000000000000004">
      <c r="B790" s="7"/>
      <c r="D790" t="s">
        <v>814</v>
      </c>
      <c r="E790">
        <v>123</v>
      </c>
      <c r="F790" t="s">
        <v>815</v>
      </c>
      <c r="G790" t="s">
        <v>816</v>
      </c>
      <c r="H790" t="s">
        <v>483</v>
      </c>
    </row>
    <row r="791" spans="2:8" x14ac:dyDescent="0.55000000000000004">
      <c r="B791" s="7"/>
      <c r="D791" t="s">
        <v>817</v>
      </c>
      <c r="E791">
        <v>124</v>
      </c>
      <c r="F791" t="s">
        <v>818</v>
      </c>
      <c r="G791" t="s">
        <v>819</v>
      </c>
      <c r="H791" t="s">
        <v>483</v>
      </c>
    </row>
    <row r="792" spans="2:8" x14ac:dyDescent="0.55000000000000004">
      <c r="B792" s="7"/>
      <c r="D792" t="s">
        <v>820</v>
      </c>
      <c r="E792">
        <v>125</v>
      </c>
      <c r="F792" t="s">
        <v>821</v>
      </c>
      <c r="G792" t="s">
        <v>683</v>
      </c>
      <c r="H792" t="s">
        <v>483</v>
      </c>
    </row>
    <row r="793" spans="2:8" x14ac:dyDescent="0.55000000000000004">
      <c r="B793" s="7"/>
      <c r="D793" t="s">
        <v>822</v>
      </c>
      <c r="E793">
        <v>126</v>
      </c>
      <c r="F793" t="s">
        <v>823</v>
      </c>
      <c r="G793" t="s">
        <v>824</v>
      </c>
      <c r="H793" t="s">
        <v>483</v>
      </c>
    </row>
    <row r="794" spans="2:8" x14ac:dyDescent="0.55000000000000004">
      <c r="B794" s="7"/>
      <c r="D794" t="s">
        <v>825</v>
      </c>
      <c r="E794">
        <v>127</v>
      </c>
      <c r="F794" t="s">
        <v>826</v>
      </c>
      <c r="G794" t="s">
        <v>827</v>
      </c>
      <c r="H794" t="s">
        <v>483</v>
      </c>
    </row>
    <row r="795" spans="2:8" x14ac:dyDescent="0.55000000000000004">
      <c r="B795" s="7"/>
      <c r="D795" t="s">
        <v>828</v>
      </c>
      <c r="E795">
        <v>128</v>
      </c>
      <c r="F795" t="s">
        <v>829</v>
      </c>
      <c r="G795" t="s">
        <v>830</v>
      </c>
      <c r="H795" t="s">
        <v>483</v>
      </c>
    </row>
    <row r="796" spans="2:8" x14ac:dyDescent="0.55000000000000004">
      <c r="B796" s="7"/>
      <c r="D796" t="s">
        <v>831</v>
      </c>
      <c r="E796">
        <v>129</v>
      </c>
      <c r="F796" t="s">
        <v>832</v>
      </c>
      <c r="G796" t="s">
        <v>833</v>
      </c>
      <c r="H796" t="s">
        <v>483</v>
      </c>
    </row>
    <row r="797" spans="2:8" x14ac:dyDescent="0.55000000000000004">
      <c r="B797" s="7"/>
      <c r="D797" t="s">
        <v>834</v>
      </c>
      <c r="E797">
        <v>130</v>
      </c>
      <c r="F797" t="s">
        <v>835</v>
      </c>
      <c r="G797" t="s">
        <v>836</v>
      </c>
      <c r="H797" t="s">
        <v>483</v>
      </c>
    </row>
    <row r="798" spans="2:8" x14ac:dyDescent="0.55000000000000004">
      <c r="B798" s="7"/>
      <c r="D798" t="s">
        <v>837</v>
      </c>
      <c r="E798">
        <v>131</v>
      </c>
      <c r="F798" t="s">
        <v>838</v>
      </c>
      <c r="G798" t="s">
        <v>683</v>
      </c>
      <c r="H798" t="s">
        <v>483</v>
      </c>
    </row>
    <row r="799" spans="2:8" x14ac:dyDescent="0.55000000000000004">
      <c r="B799" s="7"/>
      <c r="D799" t="s">
        <v>839</v>
      </c>
      <c r="E799">
        <v>132</v>
      </c>
      <c r="F799" t="s">
        <v>840</v>
      </c>
      <c r="G799" t="s">
        <v>683</v>
      </c>
      <c r="H799" t="s">
        <v>483</v>
      </c>
    </row>
    <row r="800" spans="2:8" x14ac:dyDescent="0.55000000000000004">
      <c r="B800" s="7"/>
      <c r="D800" t="s">
        <v>841</v>
      </c>
      <c r="E800">
        <v>133</v>
      </c>
      <c r="F800" t="s">
        <v>842</v>
      </c>
      <c r="G800" t="s">
        <v>843</v>
      </c>
      <c r="H800" t="s">
        <v>483</v>
      </c>
    </row>
    <row r="801" spans="2:8" x14ac:dyDescent="0.55000000000000004">
      <c r="B801" s="7"/>
      <c r="D801" t="s">
        <v>844</v>
      </c>
      <c r="E801">
        <v>134</v>
      </c>
      <c r="F801" t="s">
        <v>845</v>
      </c>
      <c r="G801" t="s">
        <v>846</v>
      </c>
      <c r="H801" t="s">
        <v>483</v>
      </c>
    </row>
    <row r="802" spans="2:8" x14ac:dyDescent="0.55000000000000004">
      <c r="B802" s="7"/>
      <c r="D802" t="s">
        <v>847</v>
      </c>
      <c r="E802">
        <v>135</v>
      </c>
      <c r="F802" t="s">
        <v>848</v>
      </c>
      <c r="G802" t="s">
        <v>849</v>
      </c>
      <c r="H802" t="s">
        <v>483</v>
      </c>
    </row>
    <row r="803" spans="2:8" x14ac:dyDescent="0.55000000000000004">
      <c r="B803" s="7"/>
      <c r="D803" t="s">
        <v>850</v>
      </c>
      <c r="E803">
        <v>136</v>
      </c>
      <c r="F803" t="s">
        <v>851</v>
      </c>
      <c r="G803" t="s">
        <v>852</v>
      </c>
      <c r="H803" t="s">
        <v>483</v>
      </c>
    </row>
    <row r="804" spans="2:8" x14ac:dyDescent="0.55000000000000004">
      <c r="B804" s="7"/>
      <c r="D804" t="s">
        <v>853</v>
      </c>
      <c r="E804">
        <v>137</v>
      </c>
      <c r="F804" t="s">
        <v>854</v>
      </c>
      <c r="G804" t="s">
        <v>855</v>
      </c>
      <c r="H804" t="s">
        <v>483</v>
      </c>
    </row>
    <row r="805" spans="2:8" x14ac:dyDescent="0.55000000000000004">
      <c r="B805" s="7"/>
      <c r="D805" t="s">
        <v>856</v>
      </c>
      <c r="E805">
        <v>138</v>
      </c>
      <c r="F805" t="s">
        <v>857</v>
      </c>
      <c r="G805" t="s">
        <v>858</v>
      </c>
      <c r="H805" t="s">
        <v>483</v>
      </c>
    </row>
    <row r="806" spans="2:8" x14ac:dyDescent="0.55000000000000004">
      <c r="B806" s="7"/>
      <c r="D806" t="s">
        <v>859</v>
      </c>
      <c r="E806">
        <v>723</v>
      </c>
      <c r="F806" t="s">
        <v>860</v>
      </c>
      <c r="G806" t="s">
        <v>861</v>
      </c>
      <c r="H806" t="s">
        <v>483</v>
      </c>
    </row>
    <row r="807" spans="2:8" x14ac:dyDescent="0.55000000000000004">
      <c r="B807" s="7"/>
      <c r="D807" t="s">
        <v>862</v>
      </c>
      <c r="E807">
        <v>999</v>
      </c>
      <c r="F807" t="s">
        <v>135</v>
      </c>
      <c r="G807" t="s">
        <v>863</v>
      </c>
      <c r="H807" t="s">
        <v>483</v>
      </c>
    </row>
    <row r="808" spans="2:8" x14ac:dyDescent="0.55000000000000004">
      <c r="B808" s="7"/>
      <c r="D808" t="s">
        <v>879</v>
      </c>
      <c r="E808">
        <v>0</v>
      </c>
      <c r="F808" t="s">
        <v>880</v>
      </c>
      <c r="G808" t="s">
        <v>881</v>
      </c>
      <c r="H808" t="s">
        <v>882</v>
      </c>
    </row>
    <row r="809" spans="2:8" x14ac:dyDescent="0.55000000000000004">
      <c r="B809" s="7"/>
      <c r="D809" t="s">
        <v>883</v>
      </c>
      <c r="E809">
        <v>0</v>
      </c>
      <c r="F809" t="s">
        <v>884</v>
      </c>
      <c r="G809" t="s">
        <v>885</v>
      </c>
      <c r="H809" t="s">
        <v>886</v>
      </c>
    </row>
    <row r="810" spans="2:8" x14ac:dyDescent="0.55000000000000004">
      <c r="B810" s="7"/>
      <c r="D810" t="s">
        <v>895</v>
      </c>
      <c r="E810">
        <v>0</v>
      </c>
      <c r="F810" t="s">
        <v>896</v>
      </c>
      <c r="G810" t="s">
        <v>897</v>
      </c>
      <c r="H810" t="s">
        <v>898</v>
      </c>
    </row>
    <row r="811" spans="2:8" x14ac:dyDescent="0.55000000000000004">
      <c r="B811" s="7"/>
      <c r="D811" t="s">
        <v>903</v>
      </c>
      <c r="E811">
        <v>0</v>
      </c>
      <c r="F811" t="s">
        <v>904</v>
      </c>
      <c r="G811" t="s">
        <v>905</v>
      </c>
      <c r="H811" t="s">
        <v>906</v>
      </c>
    </row>
    <row r="812" spans="2:8" x14ac:dyDescent="0.55000000000000004">
      <c r="B812" s="7"/>
      <c r="D812" t="s">
        <v>907</v>
      </c>
      <c r="E812">
        <v>0</v>
      </c>
      <c r="F812" t="s">
        <v>908</v>
      </c>
      <c r="G812" t="s">
        <v>909</v>
      </c>
      <c r="H812" t="s">
        <v>910</v>
      </c>
    </row>
    <row r="813" spans="2:8" x14ac:dyDescent="0.55000000000000004">
      <c r="B813" s="7"/>
      <c r="D813" t="s">
        <v>911</v>
      </c>
      <c r="E813">
        <v>0</v>
      </c>
      <c r="F813" t="s">
        <v>912</v>
      </c>
      <c r="G813" t="s">
        <v>913</v>
      </c>
      <c r="H813" t="s">
        <v>914</v>
      </c>
    </row>
    <row r="814" spans="2:8" x14ac:dyDescent="0.55000000000000004">
      <c r="B814" s="7"/>
      <c r="D814" t="s">
        <v>931</v>
      </c>
      <c r="E814">
        <v>0</v>
      </c>
      <c r="F814" t="s">
        <v>932</v>
      </c>
      <c r="G814" t="s">
        <v>933</v>
      </c>
      <c r="H814" t="s">
        <v>934</v>
      </c>
    </row>
    <row r="815" spans="2:8" x14ac:dyDescent="0.55000000000000004">
      <c r="B815" s="7"/>
      <c r="D815" t="s">
        <v>939</v>
      </c>
      <c r="E815">
        <v>0</v>
      </c>
      <c r="F815" t="s">
        <v>940</v>
      </c>
      <c r="G815" t="s">
        <v>941</v>
      </c>
      <c r="H815" t="s">
        <v>942</v>
      </c>
    </row>
    <row r="816" spans="2:8" x14ac:dyDescent="0.55000000000000004">
      <c r="B816" s="7"/>
      <c r="D816" t="s">
        <v>943</v>
      </c>
      <c r="E816">
        <v>0</v>
      </c>
      <c r="F816" t="s">
        <v>944</v>
      </c>
      <c r="G816" t="s">
        <v>945</v>
      </c>
      <c r="H816" t="s">
        <v>946</v>
      </c>
    </row>
    <row r="817" spans="2:8" x14ac:dyDescent="0.55000000000000004">
      <c r="B817" s="7"/>
      <c r="D817" t="s">
        <v>951</v>
      </c>
      <c r="E817">
        <v>0</v>
      </c>
      <c r="F817" t="s">
        <v>948</v>
      </c>
      <c r="G817" t="s">
        <v>952</v>
      </c>
      <c r="H817" t="s">
        <v>953</v>
      </c>
    </row>
    <row r="818" spans="2:8" x14ac:dyDescent="0.55000000000000004">
      <c r="B818" s="7"/>
      <c r="D818" t="s">
        <v>954</v>
      </c>
      <c r="E818">
        <v>0</v>
      </c>
      <c r="F818" t="s">
        <v>955</v>
      </c>
      <c r="G818" t="s">
        <v>956</v>
      </c>
      <c r="H818" t="s">
        <v>957</v>
      </c>
    </row>
    <row r="819" spans="2:8" x14ac:dyDescent="0.55000000000000004">
      <c r="B819" s="7"/>
      <c r="D819" t="s">
        <v>966</v>
      </c>
      <c r="E819">
        <v>0</v>
      </c>
      <c r="F819" t="s">
        <v>967</v>
      </c>
      <c r="G819" t="s">
        <v>968</v>
      </c>
      <c r="H819" t="s">
        <v>969</v>
      </c>
    </row>
    <row r="820" spans="2:8" x14ac:dyDescent="0.55000000000000004">
      <c r="B820" s="7"/>
      <c r="D820" t="s">
        <v>975</v>
      </c>
      <c r="E820">
        <v>1</v>
      </c>
      <c r="F820" t="s">
        <v>976</v>
      </c>
      <c r="G820" t="s">
        <v>977</v>
      </c>
      <c r="H820" t="s">
        <v>971</v>
      </c>
    </row>
    <row r="821" spans="2:8" x14ac:dyDescent="0.55000000000000004">
      <c r="B821" s="7"/>
      <c r="D821" t="s">
        <v>978</v>
      </c>
      <c r="E821">
        <v>2</v>
      </c>
      <c r="F821" t="s">
        <v>979</v>
      </c>
      <c r="G821" t="s">
        <v>980</v>
      </c>
      <c r="H821" t="s">
        <v>971</v>
      </c>
    </row>
    <row r="822" spans="2:8" x14ac:dyDescent="0.55000000000000004">
      <c r="B822" s="7"/>
      <c r="D822" t="s">
        <v>981</v>
      </c>
      <c r="E822">
        <v>3</v>
      </c>
      <c r="F822" t="s">
        <v>982</v>
      </c>
      <c r="G822" t="s">
        <v>983</v>
      </c>
      <c r="H822" t="s">
        <v>971</v>
      </c>
    </row>
    <row r="823" spans="2:8" x14ac:dyDescent="0.55000000000000004">
      <c r="B823" s="7"/>
      <c r="D823" t="s">
        <v>984</v>
      </c>
      <c r="E823">
        <v>4</v>
      </c>
      <c r="F823" t="s">
        <v>985</v>
      </c>
      <c r="G823" t="s">
        <v>986</v>
      </c>
      <c r="H823" t="s">
        <v>971</v>
      </c>
    </row>
    <row r="824" spans="2:8" x14ac:dyDescent="0.55000000000000004">
      <c r="B824" s="7"/>
      <c r="D824" t="s">
        <v>987</v>
      </c>
      <c r="E824">
        <v>5</v>
      </c>
      <c r="F824" t="s">
        <v>988</v>
      </c>
      <c r="G824" t="s">
        <v>989</v>
      </c>
      <c r="H824" t="s">
        <v>971</v>
      </c>
    </row>
    <row r="825" spans="2:8" x14ac:dyDescent="0.55000000000000004">
      <c r="B825" s="7"/>
      <c r="D825" t="s">
        <v>990</v>
      </c>
      <c r="E825">
        <v>6</v>
      </c>
      <c r="F825" t="s">
        <v>991</v>
      </c>
      <c r="G825" t="s">
        <v>992</v>
      </c>
      <c r="H825" t="s">
        <v>971</v>
      </c>
    </row>
    <row r="826" spans="2:8" x14ac:dyDescent="0.55000000000000004">
      <c r="B826" s="7"/>
      <c r="D826" t="s">
        <v>993</v>
      </c>
      <c r="E826">
        <v>7</v>
      </c>
      <c r="F826" t="s">
        <v>994</v>
      </c>
      <c r="G826" t="s">
        <v>995</v>
      </c>
      <c r="H826" t="s">
        <v>971</v>
      </c>
    </row>
    <row r="827" spans="2:8" x14ac:dyDescent="0.55000000000000004">
      <c r="B827" s="7"/>
      <c r="D827" t="s">
        <v>996</v>
      </c>
      <c r="E827">
        <v>8</v>
      </c>
      <c r="F827" t="s">
        <v>997</v>
      </c>
      <c r="G827" t="s">
        <v>998</v>
      </c>
      <c r="H827" t="s">
        <v>971</v>
      </c>
    </row>
    <row r="828" spans="2:8" x14ac:dyDescent="0.55000000000000004">
      <c r="B828" s="7"/>
      <c r="D828" t="s">
        <v>999</v>
      </c>
      <c r="E828">
        <v>9</v>
      </c>
      <c r="F828" t="s">
        <v>1000</v>
      </c>
      <c r="G828" t="s">
        <v>1001</v>
      </c>
      <c r="H828" t="s">
        <v>971</v>
      </c>
    </row>
    <row r="829" spans="2:8" x14ac:dyDescent="0.55000000000000004">
      <c r="B829" s="7"/>
      <c r="D829" t="s">
        <v>1002</v>
      </c>
      <c r="E829">
        <v>10</v>
      </c>
      <c r="F829" t="s">
        <v>1003</v>
      </c>
      <c r="G829" t="s">
        <v>1004</v>
      </c>
      <c r="H829" t="s">
        <v>971</v>
      </c>
    </row>
    <row r="830" spans="2:8" x14ac:dyDescent="0.55000000000000004">
      <c r="B830" s="7"/>
      <c r="D830" t="s">
        <v>1005</v>
      </c>
      <c r="E830">
        <v>11</v>
      </c>
      <c r="F830" t="s">
        <v>1006</v>
      </c>
      <c r="G830" t="s">
        <v>1007</v>
      </c>
      <c r="H830" t="s">
        <v>971</v>
      </c>
    </row>
    <row r="831" spans="2:8" x14ac:dyDescent="0.55000000000000004">
      <c r="B831" s="7"/>
      <c r="D831" t="s">
        <v>1008</v>
      </c>
      <c r="E831">
        <v>12</v>
      </c>
      <c r="F831" t="s">
        <v>1009</v>
      </c>
      <c r="G831" t="s">
        <v>1010</v>
      </c>
      <c r="H831" t="s">
        <v>971</v>
      </c>
    </row>
    <row r="832" spans="2:8" x14ac:dyDescent="0.55000000000000004">
      <c r="B832" s="7"/>
      <c r="D832" t="s">
        <v>1011</v>
      </c>
      <c r="E832">
        <v>13</v>
      </c>
      <c r="F832" t="s">
        <v>1012</v>
      </c>
      <c r="G832" t="s">
        <v>1013</v>
      </c>
      <c r="H832" t="s">
        <v>971</v>
      </c>
    </row>
    <row r="833" spans="2:8" x14ac:dyDescent="0.55000000000000004">
      <c r="B833" s="7"/>
      <c r="D833" t="s">
        <v>1014</v>
      </c>
      <c r="E833">
        <v>14</v>
      </c>
      <c r="F833" t="s">
        <v>1015</v>
      </c>
      <c r="G833" t="s">
        <v>1016</v>
      </c>
      <c r="H833" t="s">
        <v>971</v>
      </c>
    </row>
    <row r="834" spans="2:8" x14ac:dyDescent="0.55000000000000004">
      <c r="B834" s="7"/>
      <c r="D834" t="s">
        <v>1017</v>
      </c>
      <c r="E834">
        <v>15</v>
      </c>
      <c r="F834" t="s">
        <v>1018</v>
      </c>
      <c r="G834" t="s">
        <v>1019</v>
      </c>
      <c r="H834" t="s">
        <v>971</v>
      </c>
    </row>
    <row r="835" spans="2:8" x14ac:dyDescent="0.55000000000000004">
      <c r="B835" s="7"/>
      <c r="D835" t="s">
        <v>1020</v>
      </c>
      <c r="E835">
        <v>999</v>
      </c>
      <c r="F835" t="s">
        <v>135</v>
      </c>
      <c r="G835" t="s">
        <v>1021</v>
      </c>
      <c r="H835" t="s">
        <v>971</v>
      </c>
    </row>
    <row r="836" spans="2:8" x14ac:dyDescent="0.55000000000000004">
      <c r="B836" s="7"/>
      <c r="D836" t="s">
        <v>1030</v>
      </c>
      <c r="E836">
        <v>0</v>
      </c>
      <c r="F836" t="s">
        <v>1031</v>
      </c>
      <c r="G836" t="s">
        <v>1032</v>
      </c>
      <c r="H836" t="s">
        <v>1033</v>
      </c>
    </row>
    <row r="837" spans="2:8" x14ac:dyDescent="0.55000000000000004">
      <c r="B837" s="7"/>
      <c r="D837" t="s">
        <v>1038</v>
      </c>
      <c r="E837">
        <v>0</v>
      </c>
      <c r="F837" t="s">
        <v>1039</v>
      </c>
      <c r="G837" t="s">
        <v>1040</v>
      </c>
      <c r="H837" t="s">
        <v>1041</v>
      </c>
    </row>
    <row r="838" spans="2:8" x14ac:dyDescent="0.55000000000000004">
      <c r="B838" s="7"/>
      <c r="D838" t="s">
        <v>1082</v>
      </c>
      <c r="E838">
        <v>0</v>
      </c>
      <c r="F838" t="s">
        <v>1083</v>
      </c>
      <c r="G838" t="s">
        <v>1084</v>
      </c>
      <c r="H838" t="s">
        <v>1085</v>
      </c>
    </row>
    <row r="839" spans="2:8" x14ac:dyDescent="0.55000000000000004">
      <c r="B839" s="7"/>
      <c r="D839" t="s">
        <v>1086</v>
      </c>
      <c r="E839">
        <v>0</v>
      </c>
      <c r="F839" t="s">
        <v>1087</v>
      </c>
      <c r="G839" t="s">
        <v>1088</v>
      </c>
      <c r="H839" t="s">
        <v>1089</v>
      </c>
    </row>
    <row r="840" spans="2:8" x14ac:dyDescent="0.55000000000000004">
      <c r="B840" s="7"/>
      <c r="D840" t="s">
        <v>1094</v>
      </c>
      <c r="E840">
        <v>0</v>
      </c>
      <c r="F840" t="s">
        <v>1095</v>
      </c>
      <c r="G840" t="s">
        <v>1096</v>
      </c>
      <c r="H840" t="s">
        <v>1097</v>
      </c>
    </row>
    <row r="841" spans="2:8" x14ac:dyDescent="0.55000000000000004">
      <c r="B841" s="7"/>
      <c r="D841" t="s">
        <v>1098</v>
      </c>
      <c r="E841">
        <v>0</v>
      </c>
      <c r="F841" t="s">
        <v>1099</v>
      </c>
      <c r="G841" t="s">
        <v>1100</v>
      </c>
      <c r="H841" t="s">
        <v>1101</v>
      </c>
    </row>
    <row r="842" spans="2:8" x14ac:dyDescent="0.55000000000000004">
      <c r="B842" s="7"/>
      <c r="D842" t="s">
        <v>1107</v>
      </c>
      <c r="E842">
        <v>1</v>
      </c>
      <c r="F842" t="s">
        <v>1108</v>
      </c>
      <c r="G842" t="s">
        <v>1109</v>
      </c>
      <c r="H842" t="s">
        <v>1103</v>
      </c>
    </row>
    <row r="843" spans="2:8" x14ac:dyDescent="0.55000000000000004">
      <c r="B843" s="7"/>
      <c r="D843" t="s">
        <v>1110</v>
      </c>
      <c r="E843">
        <v>2</v>
      </c>
      <c r="F843" t="s">
        <v>384</v>
      </c>
      <c r="G843" t="s">
        <v>1111</v>
      </c>
      <c r="H843" t="s">
        <v>1103</v>
      </c>
    </row>
    <row r="844" spans="2:8" x14ac:dyDescent="0.55000000000000004">
      <c r="B844" s="7"/>
      <c r="D844" t="s">
        <v>1112</v>
      </c>
      <c r="E844">
        <v>4</v>
      </c>
      <c r="F844" t="s">
        <v>1113</v>
      </c>
      <c r="G844" t="s">
        <v>1114</v>
      </c>
      <c r="H844" t="s">
        <v>1103</v>
      </c>
    </row>
    <row r="845" spans="2:8" x14ac:dyDescent="0.55000000000000004">
      <c r="B845" s="7"/>
      <c r="D845" t="s">
        <v>1115</v>
      </c>
      <c r="E845">
        <v>5</v>
      </c>
      <c r="F845" t="s">
        <v>1116</v>
      </c>
      <c r="G845" t="s">
        <v>1117</v>
      </c>
      <c r="H845" t="s">
        <v>1103</v>
      </c>
    </row>
    <row r="846" spans="2:8" x14ac:dyDescent="0.55000000000000004">
      <c r="B846" s="7"/>
      <c r="D846" t="s">
        <v>1118</v>
      </c>
      <c r="E846">
        <v>6</v>
      </c>
      <c r="F846" t="s">
        <v>1119</v>
      </c>
      <c r="G846" t="s">
        <v>1120</v>
      </c>
      <c r="H846" t="s">
        <v>1103</v>
      </c>
    </row>
    <row r="847" spans="2:8" x14ac:dyDescent="0.55000000000000004">
      <c r="B847" s="7"/>
      <c r="D847" t="s">
        <v>1121</v>
      </c>
      <c r="E847">
        <v>7</v>
      </c>
      <c r="F847" t="s">
        <v>1122</v>
      </c>
      <c r="G847" t="s">
        <v>1123</v>
      </c>
      <c r="H847" t="s">
        <v>1103</v>
      </c>
    </row>
    <row r="848" spans="2:8" x14ac:dyDescent="0.55000000000000004">
      <c r="B848" s="7"/>
      <c r="D848" t="s">
        <v>1124</v>
      </c>
      <c r="E848">
        <v>8</v>
      </c>
      <c r="F848" t="s">
        <v>186</v>
      </c>
      <c r="G848" t="s">
        <v>1125</v>
      </c>
      <c r="H848" t="s">
        <v>1103</v>
      </c>
    </row>
    <row r="849" spans="2:8" x14ac:dyDescent="0.55000000000000004">
      <c r="B849" s="7"/>
      <c r="D849" t="s">
        <v>1126</v>
      </c>
      <c r="E849">
        <v>9</v>
      </c>
      <c r="F849" t="s">
        <v>1127</v>
      </c>
      <c r="G849" t="s">
        <v>1128</v>
      </c>
      <c r="H849" t="s">
        <v>1103</v>
      </c>
    </row>
    <row r="850" spans="2:8" x14ac:dyDescent="0.55000000000000004">
      <c r="B850" s="7"/>
      <c r="D850" t="s">
        <v>1129</v>
      </c>
      <c r="E850">
        <v>10</v>
      </c>
      <c r="F850" t="s">
        <v>1130</v>
      </c>
      <c r="G850" t="s">
        <v>1131</v>
      </c>
      <c r="H850" t="s">
        <v>1103</v>
      </c>
    </row>
    <row r="851" spans="2:8" x14ac:dyDescent="0.55000000000000004">
      <c r="B851" s="7"/>
      <c r="D851" t="s">
        <v>1132</v>
      </c>
      <c r="E851">
        <v>11</v>
      </c>
      <c r="F851" t="s">
        <v>1133</v>
      </c>
      <c r="G851" t="s">
        <v>1134</v>
      </c>
      <c r="H851" t="s">
        <v>1103</v>
      </c>
    </row>
    <row r="852" spans="2:8" x14ac:dyDescent="0.55000000000000004">
      <c r="B852" s="7"/>
      <c r="D852" t="s">
        <v>1135</v>
      </c>
      <c r="E852">
        <v>12</v>
      </c>
      <c r="F852" t="s">
        <v>1136</v>
      </c>
      <c r="G852" t="s">
        <v>1137</v>
      </c>
      <c r="H852" t="s">
        <v>1103</v>
      </c>
    </row>
    <row r="853" spans="2:8" x14ac:dyDescent="0.55000000000000004">
      <c r="B853" s="7"/>
      <c r="D853" t="s">
        <v>1138</v>
      </c>
      <c r="E853">
        <v>13</v>
      </c>
      <c r="F853" t="s">
        <v>1139</v>
      </c>
      <c r="G853" t="s">
        <v>1140</v>
      </c>
      <c r="H853" t="s">
        <v>1103</v>
      </c>
    </row>
    <row r="854" spans="2:8" x14ac:dyDescent="0.55000000000000004">
      <c r="B854" s="7"/>
      <c r="D854" t="s">
        <v>1141</v>
      </c>
      <c r="E854">
        <v>14</v>
      </c>
      <c r="F854" t="s">
        <v>1142</v>
      </c>
      <c r="G854" t="s">
        <v>1143</v>
      </c>
      <c r="H854" t="s">
        <v>1103</v>
      </c>
    </row>
    <row r="855" spans="2:8" x14ac:dyDescent="0.55000000000000004">
      <c r="B855" s="7"/>
      <c r="D855" t="s">
        <v>1144</v>
      </c>
      <c r="E855">
        <v>15</v>
      </c>
      <c r="F855" t="s">
        <v>1145</v>
      </c>
      <c r="G855" t="s">
        <v>1146</v>
      </c>
      <c r="H855" t="s">
        <v>1103</v>
      </c>
    </row>
    <row r="856" spans="2:8" x14ac:dyDescent="0.55000000000000004">
      <c r="B856" s="7"/>
      <c r="D856" t="s">
        <v>1147</v>
      </c>
      <c r="E856">
        <v>16</v>
      </c>
      <c r="F856" t="s">
        <v>1148</v>
      </c>
      <c r="G856" t="s">
        <v>1149</v>
      </c>
      <c r="H856" t="s">
        <v>1103</v>
      </c>
    </row>
    <row r="857" spans="2:8" x14ac:dyDescent="0.55000000000000004">
      <c r="B857" s="7"/>
      <c r="D857" t="s">
        <v>1150</v>
      </c>
      <c r="E857">
        <v>17</v>
      </c>
      <c r="F857" t="s">
        <v>1151</v>
      </c>
      <c r="G857" t="s">
        <v>1152</v>
      </c>
      <c r="H857" t="s">
        <v>1103</v>
      </c>
    </row>
    <row r="858" spans="2:8" x14ac:dyDescent="0.55000000000000004">
      <c r="B858" s="7"/>
      <c r="D858" t="s">
        <v>1153</v>
      </c>
      <c r="E858">
        <v>999</v>
      </c>
      <c r="F858" t="s">
        <v>135</v>
      </c>
      <c r="G858" t="s">
        <v>1154</v>
      </c>
      <c r="H858" t="s">
        <v>1103</v>
      </c>
    </row>
    <row r="859" spans="2:8" x14ac:dyDescent="0.55000000000000004">
      <c r="B859" s="7"/>
      <c r="D859" t="s">
        <v>1167</v>
      </c>
      <c r="E859">
        <v>0</v>
      </c>
      <c r="F859" t="s">
        <v>1168</v>
      </c>
      <c r="G859" t="s">
        <v>1169</v>
      </c>
      <c r="H859" t="s">
        <v>1170</v>
      </c>
    </row>
    <row r="860" spans="2:8" x14ac:dyDescent="0.55000000000000004">
      <c r="B860" s="7"/>
      <c r="D860" t="s">
        <v>1175</v>
      </c>
      <c r="E860">
        <v>0</v>
      </c>
      <c r="F860" t="s">
        <v>1176</v>
      </c>
      <c r="G860" t="s">
        <v>1177</v>
      </c>
      <c r="H860" t="s">
        <v>1178</v>
      </c>
    </row>
    <row r="861" spans="2:8" x14ac:dyDescent="0.55000000000000004">
      <c r="B861" s="7"/>
      <c r="D861" t="s">
        <v>1202</v>
      </c>
      <c r="E861">
        <v>0</v>
      </c>
      <c r="F861" t="s">
        <v>1203</v>
      </c>
      <c r="G861" t="s">
        <v>1204</v>
      </c>
      <c r="H861" t="s">
        <v>1205</v>
      </c>
    </row>
    <row r="862" spans="2:8" x14ac:dyDescent="0.55000000000000004">
      <c r="B862" s="7"/>
      <c r="D862" t="s">
        <v>1210</v>
      </c>
      <c r="E862">
        <v>0</v>
      </c>
      <c r="F862" t="s">
        <v>1211</v>
      </c>
      <c r="G862" t="s">
        <v>1212</v>
      </c>
      <c r="H862" t="s">
        <v>1213</v>
      </c>
    </row>
    <row r="863" spans="2:8" x14ac:dyDescent="0.55000000000000004">
      <c r="B863" s="7"/>
      <c r="D863" t="s">
        <v>1219</v>
      </c>
      <c r="E863">
        <v>1</v>
      </c>
      <c r="F863" t="s">
        <v>1220</v>
      </c>
      <c r="G863" t="s">
        <v>1221</v>
      </c>
      <c r="H863" t="s">
        <v>1215</v>
      </c>
    </row>
    <row r="864" spans="2:8" x14ac:dyDescent="0.55000000000000004">
      <c r="B864" s="7"/>
      <c r="D864" t="s">
        <v>1222</v>
      </c>
      <c r="E864">
        <v>2</v>
      </c>
      <c r="F864" t="s">
        <v>1223</v>
      </c>
      <c r="G864" t="s">
        <v>1224</v>
      </c>
      <c r="H864" t="s">
        <v>1215</v>
      </c>
    </row>
    <row r="865" spans="2:8" x14ac:dyDescent="0.55000000000000004">
      <c r="B865" s="7"/>
      <c r="D865" t="s">
        <v>1225</v>
      </c>
      <c r="E865">
        <v>3</v>
      </c>
      <c r="F865" t="s">
        <v>1226</v>
      </c>
      <c r="G865" t="s">
        <v>1227</v>
      </c>
      <c r="H865" t="s">
        <v>1215</v>
      </c>
    </row>
    <row r="866" spans="2:8" x14ac:dyDescent="0.55000000000000004">
      <c r="B866" s="7"/>
      <c r="D866" t="s">
        <v>1228</v>
      </c>
      <c r="E866">
        <v>4</v>
      </c>
      <c r="F866" t="s">
        <v>555</v>
      </c>
      <c r="G866" t="s">
        <v>556</v>
      </c>
      <c r="H866" t="s">
        <v>1215</v>
      </c>
    </row>
    <row r="867" spans="2:8" x14ac:dyDescent="0.55000000000000004">
      <c r="B867" s="7"/>
      <c r="D867" t="s">
        <v>1229</v>
      </c>
      <c r="E867">
        <v>5</v>
      </c>
      <c r="F867" t="s">
        <v>1230</v>
      </c>
      <c r="G867" t="s">
        <v>1231</v>
      </c>
      <c r="H867" t="s">
        <v>1215</v>
      </c>
    </row>
    <row r="868" spans="2:8" x14ac:dyDescent="0.55000000000000004">
      <c r="B868" s="7"/>
      <c r="D868" t="s">
        <v>1232</v>
      </c>
      <c r="E868">
        <v>6</v>
      </c>
      <c r="F868" t="s">
        <v>1233</v>
      </c>
      <c r="G868" t="s">
        <v>1234</v>
      </c>
      <c r="H868" t="s">
        <v>1215</v>
      </c>
    </row>
    <row r="869" spans="2:8" x14ac:dyDescent="0.55000000000000004">
      <c r="B869" s="7"/>
      <c r="D869" t="s">
        <v>1235</v>
      </c>
      <c r="E869">
        <v>7</v>
      </c>
      <c r="F869" t="s">
        <v>1236</v>
      </c>
      <c r="G869" t="s">
        <v>1237</v>
      </c>
      <c r="H869" t="s">
        <v>1215</v>
      </c>
    </row>
    <row r="870" spans="2:8" x14ac:dyDescent="0.55000000000000004">
      <c r="B870" s="7"/>
      <c r="D870" t="s">
        <v>1238</v>
      </c>
      <c r="E870">
        <v>8</v>
      </c>
      <c r="F870" t="s">
        <v>1239</v>
      </c>
      <c r="G870" t="s">
        <v>1240</v>
      </c>
      <c r="H870" t="s">
        <v>1215</v>
      </c>
    </row>
    <row r="871" spans="2:8" x14ac:dyDescent="0.55000000000000004">
      <c r="B871" s="7"/>
      <c r="D871" t="s">
        <v>1241</v>
      </c>
      <c r="E871">
        <v>9</v>
      </c>
      <c r="F871" t="s">
        <v>1242</v>
      </c>
      <c r="G871" t="s">
        <v>1243</v>
      </c>
      <c r="H871" t="s">
        <v>1215</v>
      </c>
    </row>
    <row r="872" spans="2:8" x14ac:dyDescent="0.55000000000000004">
      <c r="B872" s="7"/>
      <c r="D872" t="s">
        <v>1244</v>
      </c>
      <c r="E872">
        <v>10</v>
      </c>
      <c r="F872" t="s">
        <v>1245</v>
      </c>
      <c r="G872" t="s">
        <v>1246</v>
      </c>
      <c r="H872" t="s">
        <v>1215</v>
      </c>
    </row>
    <row r="873" spans="2:8" x14ac:dyDescent="0.55000000000000004">
      <c r="B873" s="7"/>
      <c r="D873" t="s">
        <v>1247</v>
      </c>
      <c r="E873">
        <v>11</v>
      </c>
      <c r="F873" t="s">
        <v>1248</v>
      </c>
      <c r="G873" t="s">
        <v>1249</v>
      </c>
      <c r="H873" t="s">
        <v>1215</v>
      </c>
    </row>
    <row r="874" spans="2:8" x14ac:dyDescent="0.55000000000000004">
      <c r="B874" s="7"/>
      <c r="D874" t="s">
        <v>1250</v>
      </c>
      <c r="E874">
        <v>12</v>
      </c>
      <c r="F874" t="s">
        <v>1251</v>
      </c>
      <c r="G874" t="s">
        <v>1252</v>
      </c>
      <c r="H874" t="s">
        <v>1215</v>
      </c>
    </row>
    <row r="875" spans="2:8" x14ac:dyDescent="0.55000000000000004">
      <c r="B875" s="7"/>
      <c r="D875" t="s">
        <v>1253</v>
      </c>
      <c r="E875">
        <v>13</v>
      </c>
      <c r="F875" t="s">
        <v>1254</v>
      </c>
      <c r="G875" t="s">
        <v>1255</v>
      </c>
      <c r="H875" t="s">
        <v>1215</v>
      </c>
    </row>
    <row r="876" spans="2:8" x14ac:dyDescent="0.55000000000000004">
      <c r="B876" s="7"/>
      <c r="D876" t="s">
        <v>1256</v>
      </c>
      <c r="E876">
        <v>14</v>
      </c>
      <c r="F876" t="s">
        <v>1257</v>
      </c>
      <c r="G876" t="s">
        <v>1249</v>
      </c>
      <c r="H876" t="s">
        <v>1215</v>
      </c>
    </row>
    <row r="877" spans="2:8" x14ac:dyDescent="0.55000000000000004">
      <c r="B877" s="7"/>
      <c r="D877" t="s">
        <v>1258</v>
      </c>
      <c r="E877">
        <v>15</v>
      </c>
      <c r="F877" t="s">
        <v>1259</v>
      </c>
      <c r="G877" t="s">
        <v>1260</v>
      </c>
      <c r="H877" t="s">
        <v>1215</v>
      </c>
    </row>
    <row r="878" spans="2:8" x14ac:dyDescent="0.55000000000000004">
      <c r="B878" s="7"/>
      <c r="D878" t="s">
        <v>1261</v>
      </c>
      <c r="E878">
        <v>16</v>
      </c>
      <c r="F878" t="s">
        <v>1262</v>
      </c>
      <c r="G878" t="s">
        <v>1263</v>
      </c>
      <c r="H878" t="s">
        <v>1215</v>
      </c>
    </row>
    <row r="879" spans="2:8" x14ac:dyDescent="0.55000000000000004">
      <c r="B879" s="7"/>
      <c r="D879" t="s">
        <v>1264</v>
      </c>
      <c r="E879">
        <v>17</v>
      </c>
      <c r="F879" t="s">
        <v>1265</v>
      </c>
      <c r="G879" t="s">
        <v>1266</v>
      </c>
      <c r="H879" t="s">
        <v>1215</v>
      </c>
    </row>
    <row r="880" spans="2:8" x14ac:dyDescent="0.55000000000000004">
      <c r="B880" s="7"/>
      <c r="D880" t="s">
        <v>1267</v>
      </c>
      <c r="E880">
        <v>18</v>
      </c>
      <c r="F880" t="s">
        <v>1268</v>
      </c>
      <c r="G880" t="s">
        <v>1269</v>
      </c>
      <c r="H880" t="s">
        <v>1215</v>
      </c>
    </row>
    <row r="881" spans="2:8" x14ac:dyDescent="0.55000000000000004">
      <c r="B881" s="7"/>
      <c r="D881" t="s">
        <v>1270</v>
      </c>
      <c r="E881">
        <v>19</v>
      </c>
      <c r="F881" t="s">
        <v>1271</v>
      </c>
      <c r="G881" t="s">
        <v>1272</v>
      </c>
      <c r="H881" t="s">
        <v>1215</v>
      </c>
    </row>
    <row r="882" spans="2:8" x14ac:dyDescent="0.55000000000000004">
      <c r="B882" s="7"/>
      <c r="D882" t="s">
        <v>1273</v>
      </c>
      <c r="E882">
        <v>20</v>
      </c>
      <c r="F882" t="s">
        <v>1274</v>
      </c>
      <c r="G882" t="s">
        <v>1275</v>
      </c>
      <c r="H882" t="s">
        <v>1215</v>
      </c>
    </row>
    <row r="883" spans="2:8" x14ac:dyDescent="0.55000000000000004">
      <c r="B883" s="7"/>
      <c r="D883" t="s">
        <v>1276</v>
      </c>
      <c r="E883">
        <v>999</v>
      </c>
      <c r="F883" t="s">
        <v>135</v>
      </c>
      <c r="G883" t="s">
        <v>1277</v>
      </c>
      <c r="H883" t="s">
        <v>1215</v>
      </c>
    </row>
    <row r="884" spans="2:8" x14ac:dyDescent="0.55000000000000004">
      <c r="B884" s="7"/>
      <c r="D884" t="s">
        <v>1297</v>
      </c>
      <c r="E884">
        <v>0</v>
      </c>
      <c r="F884" t="s">
        <v>1298</v>
      </c>
      <c r="G884" t="s">
        <v>1299</v>
      </c>
      <c r="H884" t="s">
        <v>1300</v>
      </c>
    </row>
    <row r="885" spans="2:8" x14ac:dyDescent="0.55000000000000004">
      <c r="B885" s="7"/>
      <c r="D885" t="s">
        <v>1301</v>
      </c>
      <c r="E885">
        <v>0</v>
      </c>
      <c r="F885" t="s">
        <v>1302</v>
      </c>
      <c r="G885" t="s">
        <v>1303</v>
      </c>
      <c r="H885" t="s">
        <v>1304</v>
      </c>
    </row>
    <row r="886" spans="2:8" x14ac:dyDescent="0.55000000000000004">
      <c r="B886" s="7"/>
      <c r="D886" t="s">
        <v>1310</v>
      </c>
      <c r="E886">
        <v>2</v>
      </c>
      <c r="F886" t="s">
        <v>1311</v>
      </c>
      <c r="G886" t="s">
        <v>1312</v>
      </c>
      <c r="H886" t="s">
        <v>1306</v>
      </c>
    </row>
    <row r="887" spans="2:8" x14ac:dyDescent="0.55000000000000004">
      <c r="B887" s="7"/>
      <c r="D887" t="s">
        <v>1313</v>
      </c>
      <c r="E887">
        <v>3</v>
      </c>
      <c r="F887" t="s">
        <v>1314</v>
      </c>
      <c r="G887" t="s">
        <v>1315</v>
      </c>
      <c r="H887" t="s">
        <v>1306</v>
      </c>
    </row>
    <row r="888" spans="2:8" x14ac:dyDescent="0.55000000000000004">
      <c r="B888" s="7"/>
      <c r="D888" t="s">
        <v>1316</v>
      </c>
      <c r="E888">
        <v>6</v>
      </c>
      <c r="F888" t="s">
        <v>1317</v>
      </c>
      <c r="G888" t="s">
        <v>1318</v>
      </c>
      <c r="H888" t="s">
        <v>1306</v>
      </c>
    </row>
    <row r="889" spans="2:8" x14ac:dyDescent="0.55000000000000004">
      <c r="B889" s="7"/>
      <c r="D889" t="s">
        <v>1319</v>
      </c>
      <c r="E889">
        <v>8</v>
      </c>
      <c r="F889" t="s">
        <v>1320</v>
      </c>
      <c r="G889" t="s">
        <v>1321</v>
      </c>
      <c r="H889" t="s">
        <v>1306</v>
      </c>
    </row>
    <row r="890" spans="2:8" x14ac:dyDescent="0.55000000000000004">
      <c r="B890" s="7"/>
      <c r="D890" t="s">
        <v>1322</v>
      </c>
      <c r="E890">
        <v>10</v>
      </c>
      <c r="F890" t="s">
        <v>1323</v>
      </c>
      <c r="G890" t="s">
        <v>1324</v>
      </c>
      <c r="H890" t="s">
        <v>1306</v>
      </c>
    </row>
    <row r="891" spans="2:8" x14ac:dyDescent="0.55000000000000004">
      <c r="B891" s="7"/>
      <c r="D891" t="s">
        <v>1325</v>
      </c>
      <c r="E891">
        <v>11</v>
      </c>
      <c r="F891" t="s">
        <v>1326</v>
      </c>
      <c r="G891" t="s">
        <v>1327</v>
      </c>
      <c r="H891" t="s">
        <v>1306</v>
      </c>
    </row>
    <row r="892" spans="2:8" x14ac:dyDescent="0.55000000000000004">
      <c r="B892" s="7"/>
      <c r="D892" t="s">
        <v>1328</v>
      </c>
      <c r="E892">
        <v>13</v>
      </c>
      <c r="F892" t="s">
        <v>1329</v>
      </c>
      <c r="G892" t="s">
        <v>1330</v>
      </c>
      <c r="H892" t="s">
        <v>1306</v>
      </c>
    </row>
    <row r="893" spans="2:8" x14ac:dyDescent="0.55000000000000004">
      <c r="B893" s="7"/>
      <c r="D893" t="s">
        <v>1331</v>
      </c>
      <c r="E893">
        <v>14</v>
      </c>
      <c r="F893" t="s">
        <v>1332</v>
      </c>
      <c r="G893" t="s">
        <v>1333</v>
      </c>
      <c r="H893" t="s">
        <v>1306</v>
      </c>
    </row>
    <row r="894" spans="2:8" x14ac:dyDescent="0.55000000000000004">
      <c r="B894" s="7"/>
      <c r="D894" t="s">
        <v>1334</v>
      </c>
      <c r="E894">
        <v>15</v>
      </c>
      <c r="F894" t="s">
        <v>1335</v>
      </c>
      <c r="G894" t="s">
        <v>1336</v>
      </c>
      <c r="H894" t="s">
        <v>1306</v>
      </c>
    </row>
    <row r="895" spans="2:8" x14ac:dyDescent="0.55000000000000004">
      <c r="B895" s="7"/>
      <c r="D895" t="s">
        <v>1337</v>
      </c>
      <c r="E895">
        <v>16</v>
      </c>
      <c r="F895" t="s">
        <v>1338</v>
      </c>
      <c r="G895" t="s">
        <v>1339</v>
      </c>
      <c r="H895" t="s">
        <v>1306</v>
      </c>
    </row>
    <row r="896" spans="2:8" x14ac:dyDescent="0.55000000000000004">
      <c r="B896" s="7"/>
      <c r="D896" t="s">
        <v>1340</v>
      </c>
      <c r="E896">
        <v>17</v>
      </c>
      <c r="F896" t="s">
        <v>1341</v>
      </c>
      <c r="G896" t="s">
        <v>1342</v>
      </c>
      <c r="H896" t="s">
        <v>1306</v>
      </c>
    </row>
    <row r="897" spans="2:8" x14ac:dyDescent="0.55000000000000004">
      <c r="B897" s="7"/>
      <c r="D897" t="s">
        <v>1343</v>
      </c>
      <c r="E897">
        <v>21</v>
      </c>
      <c r="F897" t="s">
        <v>1344</v>
      </c>
      <c r="G897" t="s">
        <v>1345</v>
      </c>
      <c r="H897" t="s">
        <v>1306</v>
      </c>
    </row>
    <row r="898" spans="2:8" x14ac:dyDescent="0.55000000000000004">
      <c r="B898" s="7"/>
      <c r="D898" t="s">
        <v>1346</v>
      </c>
      <c r="E898">
        <v>999</v>
      </c>
      <c r="F898" t="s">
        <v>135</v>
      </c>
      <c r="G898" t="s">
        <v>1347</v>
      </c>
      <c r="H898" t="s">
        <v>1306</v>
      </c>
    </row>
    <row r="899" spans="2:8" x14ac:dyDescent="0.55000000000000004">
      <c r="B899" s="7"/>
      <c r="D899" t="s">
        <v>1348</v>
      </c>
      <c r="E899">
        <v>0</v>
      </c>
      <c r="F899" t="s">
        <v>1349</v>
      </c>
      <c r="G899" t="s">
        <v>1350</v>
      </c>
      <c r="H899" t="s">
        <v>1351</v>
      </c>
    </row>
    <row r="900" spans="2:8" x14ac:dyDescent="0.55000000000000004">
      <c r="B900" s="7"/>
      <c r="D900" t="s">
        <v>1360</v>
      </c>
      <c r="E900">
        <v>0</v>
      </c>
      <c r="F900" t="s">
        <v>1361</v>
      </c>
      <c r="G900" t="s">
        <v>1362</v>
      </c>
      <c r="H900" t="s">
        <v>1363</v>
      </c>
    </row>
    <row r="901" spans="2:8" x14ac:dyDescent="0.55000000000000004">
      <c r="B901" s="7"/>
      <c r="D901" t="s">
        <v>1371</v>
      </c>
      <c r="E901">
        <v>0</v>
      </c>
      <c r="F901" t="s">
        <v>1372</v>
      </c>
      <c r="G901" t="s">
        <v>1373</v>
      </c>
      <c r="H901" t="s">
        <v>1374</v>
      </c>
    </row>
    <row r="902" spans="2:8" x14ac:dyDescent="0.55000000000000004">
      <c r="B902" s="7"/>
      <c r="D902" t="s">
        <v>1388</v>
      </c>
      <c r="E902">
        <v>1</v>
      </c>
      <c r="F902" t="s">
        <v>1389</v>
      </c>
      <c r="G902" t="s">
        <v>1390</v>
      </c>
      <c r="H902" t="s">
        <v>1384</v>
      </c>
    </row>
    <row r="903" spans="2:8" x14ac:dyDescent="0.55000000000000004">
      <c r="B903" s="7"/>
      <c r="D903" t="s">
        <v>1391</v>
      </c>
      <c r="E903">
        <v>2</v>
      </c>
      <c r="F903" t="s">
        <v>1392</v>
      </c>
      <c r="G903" t="s">
        <v>1393</v>
      </c>
      <c r="H903" t="s">
        <v>1384</v>
      </c>
    </row>
    <row r="904" spans="2:8" x14ac:dyDescent="0.55000000000000004">
      <c r="B904" s="7"/>
      <c r="D904" t="s">
        <v>1394</v>
      </c>
      <c r="E904">
        <v>3</v>
      </c>
      <c r="F904" t="s">
        <v>1395</v>
      </c>
      <c r="G904" t="s">
        <v>1396</v>
      </c>
      <c r="H904" t="s">
        <v>1384</v>
      </c>
    </row>
    <row r="905" spans="2:8" x14ac:dyDescent="0.55000000000000004">
      <c r="B905" s="7"/>
      <c r="D905" t="s">
        <v>1397</v>
      </c>
      <c r="E905">
        <v>4</v>
      </c>
      <c r="F905" t="s">
        <v>1398</v>
      </c>
      <c r="G905" t="s">
        <v>1399</v>
      </c>
      <c r="H905" t="s">
        <v>1384</v>
      </c>
    </row>
    <row r="906" spans="2:8" x14ac:dyDescent="0.55000000000000004">
      <c r="B906" s="7"/>
      <c r="D906" t="s">
        <v>1400</v>
      </c>
      <c r="E906">
        <v>5</v>
      </c>
      <c r="F906" t="s">
        <v>1401</v>
      </c>
      <c r="G906" t="s">
        <v>1402</v>
      </c>
      <c r="H906" t="s">
        <v>1384</v>
      </c>
    </row>
    <row r="907" spans="2:8" x14ac:dyDescent="0.55000000000000004">
      <c r="B907" s="7"/>
      <c r="D907" t="s">
        <v>1403</v>
      </c>
      <c r="E907">
        <v>6</v>
      </c>
      <c r="F907" t="s">
        <v>1404</v>
      </c>
      <c r="G907" t="s">
        <v>1405</v>
      </c>
      <c r="H907" t="s">
        <v>1384</v>
      </c>
    </row>
    <row r="908" spans="2:8" x14ac:dyDescent="0.55000000000000004">
      <c r="B908" s="7"/>
      <c r="D908" t="s">
        <v>1406</v>
      </c>
      <c r="E908">
        <v>7</v>
      </c>
      <c r="F908" t="s">
        <v>1407</v>
      </c>
      <c r="G908" t="s">
        <v>1408</v>
      </c>
      <c r="H908" t="s">
        <v>1384</v>
      </c>
    </row>
    <row r="909" spans="2:8" x14ac:dyDescent="0.55000000000000004">
      <c r="B909" s="7"/>
      <c r="D909" t="s">
        <v>1409</v>
      </c>
      <c r="E909">
        <v>8</v>
      </c>
      <c r="F909" t="s">
        <v>1410</v>
      </c>
      <c r="G909" t="s">
        <v>1411</v>
      </c>
      <c r="H909" t="s">
        <v>1384</v>
      </c>
    </row>
    <row r="910" spans="2:8" x14ac:dyDescent="0.55000000000000004">
      <c r="B910" s="7"/>
      <c r="D910" t="s">
        <v>1412</v>
      </c>
      <c r="E910">
        <v>9</v>
      </c>
      <c r="F910" t="s">
        <v>1413</v>
      </c>
      <c r="G910" t="s">
        <v>1414</v>
      </c>
      <c r="H910" t="s">
        <v>1384</v>
      </c>
    </row>
    <row r="911" spans="2:8" x14ac:dyDescent="0.55000000000000004">
      <c r="B911" s="7"/>
      <c r="D911" t="s">
        <v>1415</v>
      </c>
      <c r="E911">
        <v>10</v>
      </c>
      <c r="F911" t="s">
        <v>1416</v>
      </c>
      <c r="G911" t="s">
        <v>1417</v>
      </c>
      <c r="H911" t="s">
        <v>1384</v>
      </c>
    </row>
    <row r="912" spans="2:8" x14ac:dyDescent="0.55000000000000004">
      <c r="B912" s="7"/>
      <c r="D912" t="s">
        <v>1418</v>
      </c>
      <c r="E912">
        <v>999</v>
      </c>
      <c r="F912" t="s">
        <v>135</v>
      </c>
      <c r="G912" t="s">
        <v>1419</v>
      </c>
      <c r="H912" t="s">
        <v>1384</v>
      </c>
    </row>
    <row r="913" spans="2:8" x14ac:dyDescent="0.55000000000000004">
      <c r="B913" s="7"/>
      <c r="D913" t="s">
        <v>1425</v>
      </c>
      <c r="E913">
        <v>1</v>
      </c>
      <c r="F913" t="s">
        <v>1426</v>
      </c>
      <c r="G913" t="s">
        <v>1427</v>
      </c>
      <c r="H913" t="s">
        <v>1421</v>
      </c>
    </row>
    <row r="914" spans="2:8" x14ac:dyDescent="0.55000000000000004">
      <c r="B914" s="7"/>
      <c r="D914" t="s">
        <v>1428</v>
      </c>
      <c r="E914">
        <v>2</v>
      </c>
      <c r="F914" t="s">
        <v>1429</v>
      </c>
      <c r="G914" t="s">
        <v>1430</v>
      </c>
      <c r="H914" t="s">
        <v>1421</v>
      </c>
    </row>
    <row r="915" spans="2:8" x14ac:dyDescent="0.55000000000000004">
      <c r="B915" s="7"/>
      <c r="D915" t="s">
        <v>1431</v>
      </c>
      <c r="E915">
        <v>3</v>
      </c>
      <c r="F915" t="s">
        <v>1432</v>
      </c>
      <c r="G915" t="s">
        <v>1433</v>
      </c>
      <c r="H915" t="s">
        <v>1421</v>
      </c>
    </row>
    <row r="916" spans="2:8" x14ac:dyDescent="0.55000000000000004">
      <c r="B916" s="7"/>
      <c r="D916" t="s">
        <v>1434</v>
      </c>
      <c r="E916">
        <v>4</v>
      </c>
      <c r="F916" t="s">
        <v>1435</v>
      </c>
      <c r="G916" t="s">
        <v>1436</v>
      </c>
      <c r="H916" t="s">
        <v>1421</v>
      </c>
    </row>
    <row r="917" spans="2:8" x14ac:dyDescent="0.55000000000000004">
      <c r="B917" s="7"/>
      <c r="D917" t="s">
        <v>1437</v>
      </c>
      <c r="E917">
        <v>5</v>
      </c>
      <c r="F917" t="s">
        <v>1438</v>
      </c>
      <c r="G917" t="s">
        <v>1439</v>
      </c>
      <c r="H917" t="s">
        <v>1421</v>
      </c>
    </row>
    <row r="918" spans="2:8" x14ac:dyDescent="0.55000000000000004">
      <c r="B918" s="7"/>
      <c r="D918" t="s">
        <v>1440</v>
      </c>
      <c r="E918">
        <v>6</v>
      </c>
      <c r="F918" t="s">
        <v>1441</v>
      </c>
      <c r="G918" t="s">
        <v>1442</v>
      </c>
      <c r="H918" t="s">
        <v>1421</v>
      </c>
    </row>
    <row r="919" spans="2:8" x14ac:dyDescent="0.55000000000000004">
      <c r="B919" s="7"/>
      <c r="D919" t="s">
        <v>1443</v>
      </c>
      <c r="E919">
        <v>7</v>
      </c>
      <c r="F919" t="s">
        <v>1444</v>
      </c>
      <c r="G919" t="s">
        <v>1445</v>
      </c>
      <c r="H919" t="s">
        <v>1421</v>
      </c>
    </row>
    <row r="920" spans="2:8" x14ac:dyDescent="0.55000000000000004">
      <c r="B920" s="7"/>
      <c r="D920" t="s">
        <v>1446</v>
      </c>
      <c r="E920">
        <v>8</v>
      </c>
      <c r="F920" t="s">
        <v>1447</v>
      </c>
      <c r="G920" t="s">
        <v>1448</v>
      </c>
      <c r="H920" t="s">
        <v>1421</v>
      </c>
    </row>
    <row r="921" spans="2:8" x14ac:dyDescent="0.55000000000000004">
      <c r="B921" s="7"/>
      <c r="D921" t="s">
        <v>1449</v>
      </c>
      <c r="E921">
        <v>9</v>
      </c>
      <c r="F921" t="s">
        <v>1450</v>
      </c>
      <c r="G921" t="s">
        <v>1451</v>
      </c>
      <c r="H921" t="s">
        <v>1421</v>
      </c>
    </row>
    <row r="922" spans="2:8" x14ac:dyDescent="0.55000000000000004">
      <c r="B922" s="7"/>
      <c r="D922" t="s">
        <v>1452</v>
      </c>
      <c r="E922">
        <v>10</v>
      </c>
      <c r="F922" t="s">
        <v>1453</v>
      </c>
      <c r="G922" t="s">
        <v>1454</v>
      </c>
      <c r="H922" t="s">
        <v>1421</v>
      </c>
    </row>
    <row r="923" spans="2:8" x14ac:dyDescent="0.55000000000000004">
      <c r="B923" s="7"/>
      <c r="D923" t="s">
        <v>1455</v>
      </c>
      <c r="E923">
        <v>11</v>
      </c>
      <c r="F923" t="s">
        <v>1456</v>
      </c>
      <c r="G923" t="s">
        <v>1457</v>
      </c>
      <c r="H923" t="s">
        <v>1421</v>
      </c>
    </row>
    <row r="924" spans="2:8" x14ac:dyDescent="0.55000000000000004">
      <c r="B924" s="7"/>
      <c r="D924" t="s">
        <v>1458</v>
      </c>
      <c r="E924">
        <v>12</v>
      </c>
      <c r="F924" t="s">
        <v>1459</v>
      </c>
      <c r="G924" t="s">
        <v>1460</v>
      </c>
      <c r="H924" t="s">
        <v>1421</v>
      </c>
    </row>
    <row r="925" spans="2:8" x14ac:dyDescent="0.55000000000000004">
      <c r="B925" s="7"/>
      <c r="D925" t="s">
        <v>1461</v>
      </c>
      <c r="E925">
        <v>13</v>
      </c>
      <c r="F925" t="s">
        <v>1462</v>
      </c>
      <c r="G925" t="s">
        <v>1463</v>
      </c>
      <c r="H925" t="s">
        <v>1421</v>
      </c>
    </row>
    <row r="926" spans="2:8" x14ac:dyDescent="0.55000000000000004">
      <c r="B926" s="7"/>
      <c r="D926" t="s">
        <v>1464</v>
      </c>
      <c r="E926">
        <v>14</v>
      </c>
      <c r="F926" t="s">
        <v>1465</v>
      </c>
      <c r="G926" t="s">
        <v>1466</v>
      </c>
      <c r="H926" t="s">
        <v>1421</v>
      </c>
    </row>
    <row r="927" spans="2:8" x14ac:dyDescent="0.55000000000000004">
      <c r="B927" s="7"/>
      <c r="D927" t="s">
        <v>1467</v>
      </c>
      <c r="E927">
        <v>15</v>
      </c>
      <c r="F927" t="s">
        <v>1468</v>
      </c>
      <c r="G927" t="s">
        <v>1469</v>
      </c>
      <c r="H927" t="s">
        <v>1421</v>
      </c>
    </row>
    <row r="928" spans="2:8" x14ac:dyDescent="0.55000000000000004">
      <c r="B928" s="7"/>
      <c r="D928" t="s">
        <v>1470</v>
      </c>
      <c r="E928">
        <v>16</v>
      </c>
      <c r="F928" t="s">
        <v>1471</v>
      </c>
      <c r="G928" t="s">
        <v>1472</v>
      </c>
      <c r="H928" t="s">
        <v>1421</v>
      </c>
    </row>
    <row r="929" spans="2:8" x14ac:dyDescent="0.55000000000000004">
      <c r="B929" s="7"/>
      <c r="D929" t="s">
        <v>1473</v>
      </c>
      <c r="E929">
        <v>17</v>
      </c>
      <c r="F929" t="s">
        <v>1474</v>
      </c>
      <c r="G929" t="s">
        <v>1475</v>
      </c>
      <c r="H929" t="s">
        <v>1421</v>
      </c>
    </row>
    <row r="930" spans="2:8" x14ac:dyDescent="0.55000000000000004">
      <c r="B930" s="7"/>
      <c r="D930" t="s">
        <v>1476</v>
      </c>
      <c r="E930">
        <v>18</v>
      </c>
      <c r="F930" t="s">
        <v>1477</v>
      </c>
      <c r="G930" t="s">
        <v>1478</v>
      </c>
      <c r="H930" t="s">
        <v>1421</v>
      </c>
    </row>
    <row r="931" spans="2:8" x14ac:dyDescent="0.55000000000000004">
      <c r="B931" s="7"/>
      <c r="D931" t="s">
        <v>1479</v>
      </c>
      <c r="E931">
        <v>999</v>
      </c>
      <c r="F931" t="s">
        <v>135</v>
      </c>
      <c r="G931" t="s">
        <v>1480</v>
      </c>
      <c r="H931" t="s">
        <v>1421</v>
      </c>
    </row>
    <row r="932" spans="2:8" x14ac:dyDescent="0.55000000000000004">
      <c r="B932" s="7"/>
      <c r="D932" t="s">
        <v>1481</v>
      </c>
      <c r="F932" t="s">
        <v>1482</v>
      </c>
      <c r="H932" t="s">
        <v>1483</v>
      </c>
    </row>
    <row r="933" spans="2:8" x14ac:dyDescent="0.55000000000000004">
      <c r="B933" s="7"/>
      <c r="D933" t="s">
        <v>1484</v>
      </c>
      <c r="E933">
        <v>0</v>
      </c>
      <c r="F933" t="s">
        <v>1482</v>
      </c>
      <c r="G933" t="s">
        <v>1485</v>
      </c>
      <c r="H933" t="s">
        <v>1483</v>
      </c>
    </row>
    <row r="934" spans="2:8" x14ac:dyDescent="0.55000000000000004">
      <c r="B934" s="7"/>
      <c r="D934" t="s">
        <v>1486</v>
      </c>
      <c r="E934">
        <v>1</v>
      </c>
      <c r="F934" t="s">
        <v>1487</v>
      </c>
      <c r="G934" t="s">
        <v>1485</v>
      </c>
      <c r="H934" t="s">
        <v>1483</v>
      </c>
    </row>
    <row r="935" spans="2:8" x14ac:dyDescent="0.55000000000000004">
      <c r="B935" s="7"/>
      <c r="D935" t="s">
        <v>1488</v>
      </c>
      <c r="E935">
        <v>2</v>
      </c>
      <c r="F935" t="s">
        <v>1489</v>
      </c>
      <c r="G935" t="s">
        <v>1485</v>
      </c>
      <c r="H935" t="s">
        <v>1483</v>
      </c>
    </row>
    <row r="936" spans="2:8" x14ac:dyDescent="0.55000000000000004">
      <c r="B936" s="7"/>
      <c r="D936" t="s">
        <v>1502</v>
      </c>
      <c r="E936">
        <v>0</v>
      </c>
      <c r="F936" t="s">
        <v>1503</v>
      </c>
      <c r="G936" t="s">
        <v>1504</v>
      </c>
      <c r="H936" t="s">
        <v>1505</v>
      </c>
    </row>
    <row r="937" spans="2:8" x14ac:dyDescent="0.55000000000000004">
      <c r="B937" s="7"/>
      <c r="D937" t="s">
        <v>1506</v>
      </c>
      <c r="E937">
        <v>0</v>
      </c>
      <c r="F937" t="s">
        <v>1507</v>
      </c>
      <c r="G937" t="s">
        <v>1508</v>
      </c>
      <c r="H937" t="s">
        <v>1509</v>
      </c>
    </row>
    <row r="938" spans="2:8" x14ac:dyDescent="0.55000000000000004">
      <c r="B938" s="7"/>
      <c r="D938" t="s">
        <v>1510</v>
      </c>
      <c r="E938">
        <v>0</v>
      </c>
      <c r="F938" t="s">
        <v>1511</v>
      </c>
      <c r="G938" t="s">
        <v>1512</v>
      </c>
      <c r="H938" t="s">
        <v>1513</v>
      </c>
    </row>
    <row r="939" spans="2:8" x14ac:dyDescent="0.55000000000000004">
      <c r="B939" s="7"/>
      <c r="D939" t="s">
        <v>1514</v>
      </c>
      <c r="E939">
        <v>0</v>
      </c>
      <c r="F939" t="s">
        <v>1515</v>
      </c>
      <c r="G939" t="s">
        <v>1516</v>
      </c>
      <c r="H939" t="s">
        <v>1517</v>
      </c>
    </row>
    <row r="940" spans="2:8" x14ac:dyDescent="0.55000000000000004">
      <c r="B940" s="7"/>
      <c r="D940" t="s">
        <v>1518</v>
      </c>
      <c r="E940">
        <v>0</v>
      </c>
      <c r="F940" t="s">
        <v>1519</v>
      </c>
      <c r="G940" t="s">
        <v>1520</v>
      </c>
      <c r="H940" t="s">
        <v>1521</v>
      </c>
    </row>
    <row r="941" spans="2:8" x14ac:dyDescent="0.55000000000000004">
      <c r="B941" s="7"/>
      <c r="D941" t="s">
        <v>1526</v>
      </c>
      <c r="E941">
        <v>0</v>
      </c>
      <c r="F941" t="s">
        <v>1527</v>
      </c>
      <c r="G941" t="s">
        <v>1528</v>
      </c>
      <c r="H941" t="s">
        <v>1529</v>
      </c>
    </row>
    <row r="942" spans="2:8" x14ac:dyDescent="0.55000000000000004">
      <c r="B942" s="7"/>
      <c r="D942" t="s">
        <v>1535</v>
      </c>
      <c r="E942">
        <v>1</v>
      </c>
      <c r="F942" t="s">
        <v>1536</v>
      </c>
      <c r="G942" t="s">
        <v>1537</v>
      </c>
      <c r="H942" t="s">
        <v>1531</v>
      </c>
    </row>
    <row r="943" spans="2:8" x14ac:dyDescent="0.55000000000000004">
      <c r="B943" s="7"/>
      <c r="D943" t="s">
        <v>1538</v>
      </c>
      <c r="E943">
        <v>2</v>
      </c>
      <c r="F943" t="s">
        <v>1539</v>
      </c>
      <c r="G943" t="s">
        <v>1540</v>
      </c>
      <c r="H943" t="s">
        <v>1531</v>
      </c>
    </row>
    <row r="944" spans="2:8" x14ac:dyDescent="0.55000000000000004">
      <c r="B944" s="7"/>
      <c r="D944" t="s">
        <v>1541</v>
      </c>
      <c r="E944">
        <v>3</v>
      </c>
      <c r="F944" t="s">
        <v>1542</v>
      </c>
      <c r="G944" t="s">
        <v>1543</v>
      </c>
      <c r="H944" t="s">
        <v>1531</v>
      </c>
    </row>
    <row r="945" spans="2:8" x14ac:dyDescent="0.55000000000000004">
      <c r="B945" s="7"/>
      <c r="D945" t="s">
        <v>1544</v>
      </c>
      <c r="E945">
        <v>4</v>
      </c>
      <c r="F945" t="s">
        <v>1545</v>
      </c>
      <c r="G945" t="s">
        <v>1546</v>
      </c>
      <c r="H945" t="s">
        <v>1531</v>
      </c>
    </row>
    <row r="946" spans="2:8" x14ac:dyDescent="0.55000000000000004">
      <c r="B946" s="7"/>
      <c r="D946" t="s">
        <v>1547</v>
      </c>
      <c r="E946">
        <v>5</v>
      </c>
      <c r="F946" t="s">
        <v>1548</v>
      </c>
      <c r="G946" t="s">
        <v>1549</v>
      </c>
      <c r="H946" t="s">
        <v>1531</v>
      </c>
    </row>
    <row r="947" spans="2:8" x14ac:dyDescent="0.55000000000000004">
      <c r="B947" s="7"/>
      <c r="D947" t="s">
        <v>1550</v>
      </c>
      <c r="E947">
        <v>6</v>
      </c>
      <c r="F947" t="s">
        <v>1551</v>
      </c>
      <c r="G947" t="s">
        <v>1552</v>
      </c>
      <c r="H947" t="s">
        <v>1531</v>
      </c>
    </row>
    <row r="948" spans="2:8" x14ac:dyDescent="0.55000000000000004">
      <c r="B948" s="7"/>
      <c r="D948" t="s">
        <v>1553</v>
      </c>
      <c r="E948">
        <v>7</v>
      </c>
      <c r="F948" t="s">
        <v>1554</v>
      </c>
      <c r="G948" t="s">
        <v>1555</v>
      </c>
      <c r="H948" t="s">
        <v>1531</v>
      </c>
    </row>
    <row r="949" spans="2:8" x14ac:dyDescent="0.55000000000000004">
      <c r="B949" s="7"/>
      <c r="D949" t="s">
        <v>1556</v>
      </c>
      <c r="E949">
        <v>8</v>
      </c>
      <c r="F949" t="s">
        <v>1557</v>
      </c>
      <c r="G949" t="s">
        <v>1558</v>
      </c>
      <c r="H949" t="s">
        <v>1531</v>
      </c>
    </row>
    <row r="950" spans="2:8" x14ac:dyDescent="0.55000000000000004">
      <c r="B950" s="7"/>
      <c r="D950" t="s">
        <v>1559</v>
      </c>
      <c r="E950">
        <v>9</v>
      </c>
      <c r="F950" t="s">
        <v>1560</v>
      </c>
      <c r="G950" t="s">
        <v>1561</v>
      </c>
      <c r="H950" t="s">
        <v>1531</v>
      </c>
    </row>
    <row r="951" spans="2:8" x14ac:dyDescent="0.55000000000000004">
      <c r="B951" s="7"/>
      <c r="D951" t="s">
        <v>1562</v>
      </c>
      <c r="E951">
        <v>10</v>
      </c>
      <c r="F951" t="s">
        <v>1563</v>
      </c>
      <c r="G951" t="s">
        <v>1564</v>
      </c>
      <c r="H951" t="s">
        <v>1531</v>
      </c>
    </row>
    <row r="952" spans="2:8" x14ac:dyDescent="0.55000000000000004">
      <c r="B952" s="7"/>
      <c r="D952" t="s">
        <v>1565</v>
      </c>
      <c r="E952">
        <v>11</v>
      </c>
      <c r="F952" t="s">
        <v>1566</v>
      </c>
      <c r="G952" t="s">
        <v>1567</v>
      </c>
      <c r="H952" t="s">
        <v>1531</v>
      </c>
    </row>
    <row r="953" spans="2:8" x14ac:dyDescent="0.55000000000000004">
      <c r="B953" s="7"/>
      <c r="D953" t="s">
        <v>1568</v>
      </c>
      <c r="E953">
        <v>12</v>
      </c>
      <c r="F953" t="s">
        <v>1569</v>
      </c>
      <c r="G953" t="s">
        <v>1570</v>
      </c>
      <c r="H953" t="s">
        <v>1531</v>
      </c>
    </row>
    <row r="954" spans="2:8" x14ac:dyDescent="0.55000000000000004">
      <c r="B954" s="7"/>
      <c r="D954" t="s">
        <v>1571</v>
      </c>
      <c r="E954">
        <v>13</v>
      </c>
      <c r="F954" t="s">
        <v>1572</v>
      </c>
      <c r="G954" t="s">
        <v>1573</v>
      </c>
      <c r="H954" t="s">
        <v>1531</v>
      </c>
    </row>
    <row r="955" spans="2:8" x14ac:dyDescent="0.55000000000000004">
      <c r="B955" s="7"/>
      <c r="D955" t="s">
        <v>1574</v>
      </c>
      <c r="E955">
        <v>14</v>
      </c>
      <c r="F955" t="s">
        <v>1575</v>
      </c>
      <c r="G955" t="s">
        <v>1576</v>
      </c>
      <c r="H955" t="s">
        <v>1531</v>
      </c>
    </row>
    <row r="956" spans="2:8" x14ac:dyDescent="0.55000000000000004">
      <c r="B956" s="7"/>
      <c r="D956" t="s">
        <v>1577</v>
      </c>
      <c r="E956">
        <v>15</v>
      </c>
      <c r="F956" t="s">
        <v>1578</v>
      </c>
      <c r="G956" t="s">
        <v>1579</v>
      </c>
      <c r="H956" t="s">
        <v>1531</v>
      </c>
    </row>
    <row r="957" spans="2:8" x14ac:dyDescent="0.55000000000000004">
      <c r="B957" s="7"/>
      <c r="D957" t="s">
        <v>1580</v>
      </c>
      <c r="E957">
        <v>16</v>
      </c>
      <c r="F957" t="s">
        <v>1581</v>
      </c>
      <c r="G957" t="s">
        <v>1582</v>
      </c>
      <c r="H957" t="s">
        <v>1531</v>
      </c>
    </row>
    <row r="958" spans="2:8" x14ac:dyDescent="0.55000000000000004">
      <c r="B958" s="7"/>
      <c r="D958" t="s">
        <v>1583</v>
      </c>
      <c r="E958">
        <v>17</v>
      </c>
      <c r="F958" t="s">
        <v>1584</v>
      </c>
      <c r="G958" t="s">
        <v>1585</v>
      </c>
      <c r="H958" t="s">
        <v>1531</v>
      </c>
    </row>
    <row r="959" spans="2:8" x14ac:dyDescent="0.55000000000000004">
      <c r="B959" s="7"/>
      <c r="D959" t="s">
        <v>1586</v>
      </c>
      <c r="E959">
        <v>18</v>
      </c>
      <c r="F959" t="s">
        <v>1587</v>
      </c>
      <c r="G959" t="s">
        <v>1588</v>
      </c>
      <c r="H959" t="s">
        <v>1531</v>
      </c>
    </row>
    <row r="960" spans="2:8" x14ac:dyDescent="0.55000000000000004">
      <c r="B960" s="7"/>
      <c r="D960" t="s">
        <v>1589</v>
      </c>
      <c r="E960">
        <v>19</v>
      </c>
      <c r="F960" t="s">
        <v>1590</v>
      </c>
      <c r="G960" t="s">
        <v>1591</v>
      </c>
      <c r="H960" t="s">
        <v>1531</v>
      </c>
    </row>
    <row r="961" spans="2:8" x14ac:dyDescent="0.55000000000000004">
      <c r="B961" s="7"/>
      <c r="D961" t="s">
        <v>1592</v>
      </c>
      <c r="E961">
        <v>20</v>
      </c>
      <c r="F961" t="s">
        <v>1593</v>
      </c>
      <c r="G961" t="s">
        <v>1594</v>
      </c>
      <c r="H961" t="s">
        <v>1531</v>
      </c>
    </row>
    <row r="962" spans="2:8" x14ac:dyDescent="0.55000000000000004">
      <c r="B962" s="7"/>
      <c r="D962" t="s">
        <v>1595</v>
      </c>
      <c r="E962">
        <v>21</v>
      </c>
      <c r="F962" t="s">
        <v>1596</v>
      </c>
      <c r="G962" t="s">
        <v>1597</v>
      </c>
      <c r="H962" t="s">
        <v>1531</v>
      </c>
    </row>
    <row r="963" spans="2:8" x14ac:dyDescent="0.55000000000000004">
      <c r="B963" s="7"/>
      <c r="D963" t="s">
        <v>1598</v>
      </c>
      <c r="E963">
        <v>22</v>
      </c>
      <c r="F963" t="s">
        <v>1599</v>
      </c>
      <c r="G963" t="s">
        <v>1600</v>
      </c>
      <c r="H963" t="s">
        <v>1531</v>
      </c>
    </row>
    <row r="964" spans="2:8" x14ac:dyDescent="0.55000000000000004">
      <c r="B964" s="7"/>
      <c r="D964" t="s">
        <v>1601</v>
      </c>
      <c r="E964">
        <v>23</v>
      </c>
      <c r="F964" t="s">
        <v>1602</v>
      </c>
      <c r="G964" t="s">
        <v>1603</v>
      </c>
      <c r="H964" t="s">
        <v>1531</v>
      </c>
    </row>
    <row r="965" spans="2:8" x14ac:dyDescent="0.55000000000000004">
      <c r="B965" s="7"/>
      <c r="D965" t="s">
        <v>1604</v>
      </c>
      <c r="E965">
        <v>24</v>
      </c>
      <c r="F965" t="s">
        <v>1605</v>
      </c>
      <c r="G965" t="s">
        <v>1606</v>
      </c>
      <c r="H965" t="s">
        <v>1531</v>
      </c>
    </row>
    <row r="966" spans="2:8" x14ac:dyDescent="0.55000000000000004">
      <c r="B966" s="7"/>
      <c r="D966" t="s">
        <v>1607</v>
      </c>
      <c r="E966">
        <v>25</v>
      </c>
      <c r="F966" t="s">
        <v>1608</v>
      </c>
      <c r="G966" t="s">
        <v>1609</v>
      </c>
      <c r="H966" t="s">
        <v>1531</v>
      </c>
    </row>
    <row r="967" spans="2:8" x14ac:dyDescent="0.55000000000000004">
      <c r="B967" s="7"/>
      <c r="D967" t="s">
        <v>1610</v>
      </c>
      <c r="E967">
        <v>26</v>
      </c>
      <c r="F967" t="s">
        <v>1611</v>
      </c>
      <c r="G967" t="s">
        <v>1612</v>
      </c>
      <c r="H967" t="s">
        <v>1531</v>
      </c>
    </row>
    <row r="968" spans="2:8" x14ac:dyDescent="0.55000000000000004">
      <c r="B968" s="7"/>
      <c r="D968" t="s">
        <v>1613</v>
      </c>
      <c r="E968">
        <v>27</v>
      </c>
      <c r="F968" t="s">
        <v>1614</v>
      </c>
      <c r="G968" t="s">
        <v>1615</v>
      </c>
      <c r="H968" t="s">
        <v>1531</v>
      </c>
    </row>
    <row r="969" spans="2:8" x14ac:dyDescent="0.55000000000000004">
      <c r="B969" s="7"/>
      <c r="D969" t="s">
        <v>1616</v>
      </c>
      <c r="E969">
        <v>999</v>
      </c>
      <c r="F969" t="s">
        <v>135</v>
      </c>
      <c r="G969" t="s">
        <v>1617</v>
      </c>
      <c r="H969" t="s">
        <v>1531</v>
      </c>
    </row>
    <row r="970" spans="2:8" x14ac:dyDescent="0.55000000000000004">
      <c r="B970" s="7"/>
      <c r="D970" t="s">
        <v>1634</v>
      </c>
      <c r="E970">
        <v>0</v>
      </c>
      <c r="F970" t="s">
        <v>1635</v>
      </c>
      <c r="G970" t="s">
        <v>1636</v>
      </c>
      <c r="H970" t="s">
        <v>1637</v>
      </c>
    </row>
    <row r="971" spans="2:8" x14ac:dyDescent="0.55000000000000004">
      <c r="B971" s="7"/>
      <c r="D971" t="s">
        <v>1650</v>
      </c>
      <c r="E971">
        <v>0</v>
      </c>
      <c r="F971" t="s">
        <v>1651</v>
      </c>
      <c r="G971" t="s">
        <v>1652</v>
      </c>
      <c r="H971" t="s">
        <v>1653</v>
      </c>
    </row>
    <row r="972" spans="2:8" x14ac:dyDescent="0.55000000000000004">
      <c r="B972" s="7"/>
      <c r="D972" t="s">
        <v>1674</v>
      </c>
      <c r="E972">
        <v>0</v>
      </c>
      <c r="F972" t="s">
        <v>1675</v>
      </c>
      <c r="G972" t="s">
        <v>1676</v>
      </c>
      <c r="H972" t="s">
        <v>1677</v>
      </c>
    </row>
    <row r="973" spans="2:8" x14ac:dyDescent="0.55000000000000004">
      <c r="B973" s="7"/>
      <c r="D973" t="s">
        <v>1682</v>
      </c>
      <c r="E973">
        <v>0</v>
      </c>
      <c r="F973" t="s">
        <v>1683</v>
      </c>
      <c r="G973" t="s">
        <v>1684</v>
      </c>
      <c r="H973" t="s">
        <v>1685</v>
      </c>
    </row>
    <row r="974" spans="2:8" x14ac:dyDescent="0.55000000000000004">
      <c r="B974" s="7"/>
      <c r="D974" t="s">
        <v>1686</v>
      </c>
      <c r="E974">
        <v>0</v>
      </c>
      <c r="F974" t="s">
        <v>1687</v>
      </c>
      <c r="G974" t="s">
        <v>1688</v>
      </c>
      <c r="H974" t="s">
        <v>1689</v>
      </c>
    </row>
    <row r="975" spans="2:8" x14ac:dyDescent="0.55000000000000004">
      <c r="B975" s="7"/>
      <c r="D975" t="s">
        <v>1718</v>
      </c>
      <c r="E975">
        <v>0</v>
      </c>
      <c r="F975" t="s">
        <v>1719</v>
      </c>
      <c r="G975" t="s">
        <v>1720</v>
      </c>
      <c r="H975" t="s">
        <v>1721</v>
      </c>
    </row>
    <row r="976" spans="2:8" x14ac:dyDescent="0.55000000000000004">
      <c r="B976" s="7"/>
      <c r="D976" t="s">
        <v>1754</v>
      </c>
      <c r="E976">
        <v>0</v>
      </c>
      <c r="F976" t="s">
        <v>1755</v>
      </c>
      <c r="G976" t="s">
        <v>1756</v>
      </c>
      <c r="H976" t="s">
        <v>1757</v>
      </c>
    </row>
    <row r="977" spans="2:8" x14ac:dyDescent="0.55000000000000004">
      <c r="B977" s="7"/>
      <c r="D977" t="s">
        <v>1774</v>
      </c>
      <c r="E977">
        <v>0</v>
      </c>
      <c r="F977" t="s">
        <v>1775</v>
      </c>
      <c r="G977" t="s">
        <v>1776</v>
      </c>
      <c r="H977" t="s">
        <v>1777</v>
      </c>
    </row>
    <row r="978" spans="2:8" x14ac:dyDescent="0.55000000000000004">
      <c r="B978" s="7"/>
      <c r="D978" t="s">
        <v>1778</v>
      </c>
      <c r="E978">
        <v>0</v>
      </c>
      <c r="F978" t="s">
        <v>1779</v>
      </c>
      <c r="G978" t="s">
        <v>1780</v>
      </c>
      <c r="H978" t="s">
        <v>1781</v>
      </c>
    </row>
    <row r="979" spans="2:8" x14ac:dyDescent="0.55000000000000004">
      <c r="B979" s="7"/>
      <c r="D979" t="s">
        <v>1782</v>
      </c>
      <c r="E979">
        <v>0</v>
      </c>
      <c r="F979" t="s">
        <v>1783</v>
      </c>
      <c r="G979" t="s">
        <v>1784</v>
      </c>
      <c r="H979" t="s">
        <v>1785</v>
      </c>
    </row>
    <row r="980" spans="2:8" x14ac:dyDescent="0.55000000000000004">
      <c r="B980" s="7"/>
      <c r="D980" t="s">
        <v>1790</v>
      </c>
      <c r="E980">
        <v>0</v>
      </c>
      <c r="F980" t="s">
        <v>1791</v>
      </c>
      <c r="G980" t="s">
        <v>1792</v>
      </c>
      <c r="H980" t="s">
        <v>1793</v>
      </c>
    </row>
    <row r="981" spans="2:8" x14ac:dyDescent="0.55000000000000004">
      <c r="B981" s="7"/>
      <c r="D981" t="s">
        <v>1806</v>
      </c>
      <c r="E981">
        <v>0</v>
      </c>
      <c r="F981" t="s">
        <v>1807</v>
      </c>
      <c r="G981" t="s">
        <v>1808</v>
      </c>
      <c r="H981" t="s">
        <v>1809</v>
      </c>
    </row>
    <row r="982" spans="2:8" x14ac:dyDescent="0.55000000000000004">
      <c r="B982" s="7"/>
      <c r="D982" t="s">
        <v>1810</v>
      </c>
      <c r="E982">
        <v>0</v>
      </c>
      <c r="F982" t="s">
        <v>1811</v>
      </c>
      <c r="G982" t="s">
        <v>1812</v>
      </c>
      <c r="H982" t="s">
        <v>1813</v>
      </c>
    </row>
    <row r="983" spans="2:8" x14ac:dyDescent="0.55000000000000004">
      <c r="B983" s="7"/>
      <c r="D983" t="s">
        <v>1814</v>
      </c>
      <c r="E983">
        <v>0</v>
      </c>
      <c r="F983" t="s">
        <v>1815</v>
      </c>
      <c r="G983" t="s">
        <v>1816</v>
      </c>
      <c r="H983" t="s">
        <v>1817</v>
      </c>
    </row>
    <row r="984" spans="2:8" x14ac:dyDescent="0.55000000000000004">
      <c r="B984" s="7"/>
      <c r="D984" t="s">
        <v>1830</v>
      </c>
      <c r="E984">
        <v>0</v>
      </c>
      <c r="F984" t="s">
        <v>1831</v>
      </c>
      <c r="G984" t="s">
        <v>1832</v>
      </c>
      <c r="H984" t="s">
        <v>1833</v>
      </c>
    </row>
    <row r="985" spans="2:8" x14ac:dyDescent="0.55000000000000004">
      <c r="B985" s="7"/>
      <c r="D985" t="s">
        <v>1834</v>
      </c>
      <c r="E985">
        <v>0</v>
      </c>
      <c r="F985" t="s">
        <v>1835</v>
      </c>
      <c r="G985" t="s">
        <v>1836</v>
      </c>
      <c r="H985" t="s">
        <v>1837</v>
      </c>
    </row>
    <row r="986" spans="2:8" x14ac:dyDescent="0.55000000000000004">
      <c r="B986" s="7"/>
      <c r="D986" t="s">
        <v>1838</v>
      </c>
      <c r="E986">
        <v>0</v>
      </c>
      <c r="F986" t="s">
        <v>1839</v>
      </c>
      <c r="G986" t="s">
        <v>1840</v>
      </c>
      <c r="H986" t="s">
        <v>1841</v>
      </c>
    </row>
    <row r="987" spans="2:8" x14ac:dyDescent="0.55000000000000004">
      <c r="B987" s="7"/>
      <c r="D987" t="s">
        <v>1842</v>
      </c>
      <c r="E987">
        <v>0</v>
      </c>
      <c r="F987" t="s">
        <v>1843</v>
      </c>
      <c r="G987" t="s">
        <v>1844</v>
      </c>
      <c r="H987" t="s">
        <v>1845</v>
      </c>
    </row>
    <row r="988" spans="2:8" x14ac:dyDescent="0.55000000000000004">
      <c r="B988" s="7"/>
      <c r="D988" t="s">
        <v>1848</v>
      </c>
      <c r="E988">
        <v>0</v>
      </c>
      <c r="F988" t="s">
        <v>1849</v>
      </c>
      <c r="G988" t="s">
        <v>1850</v>
      </c>
      <c r="H988" t="s">
        <v>1851</v>
      </c>
    </row>
    <row r="989" spans="2:8" x14ac:dyDescent="0.55000000000000004">
      <c r="B989" s="7"/>
      <c r="D989" t="s">
        <v>1856</v>
      </c>
      <c r="E989">
        <v>0</v>
      </c>
      <c r="F989" t="s">
        <v>1857</v>
      </c>
      <c r="G989" t="s">
        <v>1858</v>
      </c>
      <c r="H989" t="s">
        <v>1859</v>
      </c>
    </row>
    <row r="990" spans="2:8" x14ac:dyDescent="0.55000000000000004">
      <c r="B990" s="7"/>
      <c r="D990" t="s">
        <v>1860</v>
      </c>
      <c r="E990">
        <v>0</v>
      </c>
      <c r="F990" t="s">
        <v>1861</v>
      </c>
      <c r="G990" t="s">
        <v>1862</v>
      </c>
      <c r="H990" t="s">
        <v>1863</v>
      </c>
    </row>
    <row r="991" spans="2:8" x14ac:dyDescent="0.55000000000000004">
      <c r="B991" s="7"/>
      <c r="D991" t="s">
        <v>1864</v>
      </c>
      <c r="E991">
        <v>0</v>
      </c>
      <c r="F991" t="s">
        <v>1865</v>
      </c>
      <c r="G991" t="s">
        <v>1866</v>
      </c>
      <c r="H991" t="s">
        <v>1867</v>
      </c>
    </row>
    <row r="992" spans="2:8" x14ac:dyDescent="0.55000000000000004">
      <c r="B992" s="7"/>
      <c r="D992" t="s">
        <v>1868</v>
      </c>
      <c r="E992">
        <v>0</v>
      </c>
      <c r="F992" t="s">
        <v>1869</v>
      </c>
      <c r="G992" t="s">
        <v>1870</v>
      </c>
      <c r="H992" t="s">
        <v>1871</v>
      </c>
    </row>
    <row r="993" spans="2:8" x14ac:dyDescent="0.55000000000000004">
      <c r="B993" s="7"/>
      <c r="D993" t="s">
        <v>1879</v>
      </c>
      <c r="E993">
        <v>0</v>
      </c>
      <c r="F993" t="s">
        <v>1880</v>
      </c>
      <c r="G993" t="s">
        <v>1881</v>
      </c>
      <c r="H993" t="s">
        <v>1882</v>
      </c>
    </row>
    <row r="994" spans="2:8" x14ac:dyDescent="0.55000000000000004">
      <c r="B994" s="7"/>
      <c r="D994" t="s">
        <v>1894</v>
      </c>
      <c r="E994">
        <v>0</v>
      </c>
      <c r="F994" t="s">
        <v>1895</v>
      </c>
      <c r="G994" t="s">
        <v>1896</v>
      </c>
      <c r="H994" t="s">
        <v>1897</v>
      </c>
    </row>
    <row r="995" spans="2:8" x14ac:dyDescent="0.55000000000000004">
      <c r="B995" s="7"/>
      <c r="D995" t="s">
        <v>1898</v>
      </c>
      <c r="E995">
        <v>0</v>
      </c>
      <c r="F995" t="s">
        <v>1899</v>
      </c>
      <c r="G995" t="s">
        <v>1900</v>
      </c>
      <c r="H995" t="s">
        <v>1901</v>
      </c>
    </row>
    <row r="996" spans="2:8" x14ac:dyDescent="0.55000000000000004">
      <c r="B996" s="7"/>
      <c r="D996" t="s">
        <v>1902</v>
      </c>
      <c r="E996">
        <v>0</v>
      </c>
      <c r="F996" t="s">
        <v>1903</v>
      </c>
      <c r="G996" t="s">
        <v>1904</v>
      </c>
      <c r="H996" t="s">
        <v>1905</v>
      </c>
    </row>
    <row r="997" spans="2:8" x14ac:dyDescent="0.55000000000000004">
      <c r="B997" s="7"/>
      <c r="D997" t="s">
        <v>1910</v>
      </c>
      <c r="E997">
        <v>0</v>
      </c>
      <c r="F997" t="s">
        <v>1911</v>
      </c>
      <c r="G997" t="s">
        <v>1912</v>
      </c>
      <c r="H997" t="s">
        <v>1913</v>
      </c>
    </row>
    <row r="998" spans="2:8" x14ac:dyDescent="0.55000000000000004">
      <c r="B998" s="7"/>
      <c r="D998" t="s">
        <v>1914</v>
      </c>
      <c r="E998">
        <v>0</v>
      </c>
      <c r="F998" t="s">
        <v>1915</v>
      </c>
      <c r="G998" t="s">
        <v>1916</v>
      </c>
      <c r="H998" t="s">
        <v>1917</v>
      </c>
    </row>
    <row r="999" spans="2:8" x14ac:dyDescent="0.55000000000000004">
      <c r="B999" s="7"/>
      <c r="D999" t="s">
        <v>1930</v>
      </c>
      <c r="E999">
        <v>0</v>
      </c>
      <c r="F999" t="s">
        <v>1931</v>
      </c>
      <c r="G999" t="s">
        <v>1932</v>
      </c>
      <c r="H999" t="s">
        <v>1933</v>
      </c>
    </row>
    <row r="1000" spans="2:8" x14ac:dyDescent="0.55000000000000004">
      <c r="B1000" s="7"/>
      <c r="D1000" t="s">
        <v>1934</v>
      </c>
      <c r="E1000">
        <v>0</v>
      </c>
      <c r="F1000" t="s">
        <v>1935</v>
      </c>
      <c r="G1000" t="s">
        <v>1936</v>
      </c>
      <c r="H1000" t="s">
        <v>1937</v>
      </c>
    </row>
    <row r="1001" spans="2:8" x14ac:dyDescent="0.55000000000000004">
      <c r="B1001" s="7"/>
      <c r="D1001" t="s">
        <v>1938</v>
      </c>
      <c r="E1001">
        <v>0</v>
      </c>
      <c r="F1001" t="s">
        <v>1939</v>
      </c>
      <c r="G1001" t="s">
        <v>1940</v>
      </c>
      <c r="H1001" t="s">
        <v>1941</v>
      </c>
    </row>
    <row r="1002" spans="2:8" x14ac:dyDescent="0.55000000000000004">
      <c r="B1002" s="7"/>
      <c r="D1002" t="s">
        <v>1950</v>
      </c>
      <c r="E1002">
        <v>0</v>
      </c>
      <c r="F1002" t="s">
        <v>1951</v>
      </c>
      <c r="G1002" t="s">
        <v>1952</v>
      </c>
      <c r="H1002" t="s">
        <v>1953</v>
      </c>
    </row>
    <row r="1003" spans="2:8" x14ac:dyDescent="0.55000000000000004">
      <c r="B1003" s="7"/>
      <c r="D1003" t="s">
        <v>1954</v>
      </c>
      <c r="E1003">
        <v>0</v>
      </c>
      <c r="F1003" t="s">
        <v>1955</v>
      </c>
      <c r="G1003" t="s">
        <v>1956</v>
      </c>
      <c r="H1003" t="s">
        <v>1957</v>
      </c>
    </row>
    <row r="1004" spans="2:8" x14ac:dyDescent="0.55000000000000004">
      <c r="B1004" s="7"/>
      <c r="D1004" t="s">
        <v>1958</v>
      </c>
      <c r="E1004">
        <v>0</v>
      </c>
      <c r="F1004" t="s">
        <v>1959</v>
      </c>
      <c r="G1004" t="s">
        <v>1960</v>
      </c>
      <c r="H1004" t="s">
        <v>1961</v>
      </c>
    </row>
    <row r="1005" spans="2:8" x14ac:dyDescent="0.55000000000000004">
      <c r="B1005" s="7"/>
      <c r="D1005" t="s">
        <v>1962</v>
      </c>
      <c r="E1005">
        <v>0</v>
      </c>
      <c r="F1005" t="s">
        <v>1963</v>
      </c>
      <c r="G1005" t="s">
        <v>1964</v>
      </c>
      <c r="H1005" t="s">
        <v>1965</v>
      </c>
    </row>
    <row r="1006" spans="2:8" x14ac:dyDescent="0.55000000000000004">
      <c r="B1006" s="7"/>
      <c r="D1006" t="s">
        <v>1966</v>
      </c>
      <c r="E1006">
        <v>0</v>
      </c>
      <c r="F1006" t="s">
        <v>1967</v>
      </c>
      <c r="G1006" t="s">
        <v>1968</v>
      </c>
      <c r="H1006" t="s">
        <v>1969</v>
      </c>
    </row>
    <row r="1007" spans="2:8" x14ac:dyDescent="0.55000000000000004">
      <c r="B1007" s="7"/>
      <c r="D1007" t="s">
        <v>1970</v>
      </c>
      <c r="E1007">
        <v>0</v>
      </c>
      <c r="F1007" t="s">
        <v>1971</v>
      </c>
      <c r="G1007" t="s">
        <v>1972</v>
      </c>
      <c r="H1007" t="s">
        <v>1973</v>
      </c>
    </row>
    <row r="1008" spans="2:8" x14ac:dyDescent="0.55000000000000004">
      <c r="B1008" s="7"/>
      <c r="D1008" t="s">
        <v>1974</v>
      </c>
      <c r="E1008">
        <v>0</v>
      </c>
      <c r="F1008" t="s">
        <v>1975</v>
      </c>
      <c r="G1008" t="s">
        <v>1976</v>
      </c>
      <c r="H1008" t="s">
        <v>1977</v>
      </c>
    </row>
    <row r="1009" spans="2:8" x14ac:dyDescent="0.55000000000000004">
      <c r="B1009" s="7"/>
      <c r="D1009" t="s">
        <v>1982</v>
      </c>
      <c r="E1009">
        <v>0</v>
      </c>
      <c r="F1009" t="s">
        <v>1983</v>
      </c>
      <c r="G1009" t="s">
        <v>1984</v>
      </c>
      <c r="H1009" t="s">
        <v>1985</v>
      </c>
    </row>
    <row r="1010" spans="2:8" x14ac:dyDescent="0.55000000000000004">
      <c r="B1010" s="7"/>
      <c r="D1010" t="s">
        <v>2002</v>
      </c>
      <c r="E1010">
        <v>0</v>
      </c>
      <c r="F1010" t="s">
        <v>2003</v>
      </c>
      <c r="G1010" t="s">
        <v>2004</v>
      </c>
      <c r="H1010" t="s">
        <v>2005</v>
      </c>
    </row>
    <row r="1011" spans="2:8" x14ac:dyDescent="0.55000000000000004">
      <c r="B1011" s="7"/>
      <c r="D1011" t="s">
        <v>2006</v>
      </c>
      <c r="E1011">
        <v>0</v>
      </c>
      <c r="F1011" t="s">
        <v>2007</v>
      </c>
      <c r="G1011" t="s">
        <v>2008</v>
      </c>
      <c r="H1011" t="s">
        <v>2009</v>
      </c>
    </row>
    <row r="1012" spans="2:8" x14ac:dyDescent="0.55000000000000004">
      <c r="B1012" s="7"/>
      <c r="D1012" t="s">
        <v>2010</v>
      </c>
      <c r="E1012">
        <v>0</v>
      </c>
      <c r="F1012" t="s">
        <v>2011</v>
      </c>
      <c r="G1012" t="s">
        <v>2012</v>
      </c>
      <c r="H1012" t="s">
        <v>2013</v>
      </c>
    </row>
    <row r="1013" spans="2:8" x14ac:dyDescent="0.55000000000000004">
      <c r="B1013" s="7"/>
      <c r="D1013" t="s">
        <v>2018</v>
      </c>
      <c r="E1013">
        <v>0</v>
      </c>
      <c r="F1013" t="s">
        <v>2019</v>
      </c>
      <c r="G1013" t="s">
        <v>2020</v>
      </c>
      <c r="H1013" t="s">
        <v>2021</v>
      </c>
    </row>
    <row r="1014" spans="2:8" x14ac:dyDescent="0.55000000000000004">
      <c r="B1014" s="7"/>
      <c r="D1014" t="s">
        <v>2026</v>
      </c>
      <c r="E1014">
        <v>0</v>
      </c>
      <c r="F1014" t="s">
        <v>2027</v>
      </c>
      <c r="G1014" t="s">
        <v>2028</v>
      </c>
      <c r="H1014" t="s">
        <v>2029</v>
      </c>
    </row>
    <row r="1015" spans="2:8" x14ac:dyDescent="0.55000000000000004">
      <c r="B1015" s="7"/>
      <c r="D1015" t="s">
        <v>2030</v>
      </c>
      <c r="E1015">
        <v>0</v>
      </c>
      <c r="F1015" t="s">
        <v>2031</v>
      </c>
      <c r="G1015" t="s">
        <v>2032</v>
      </c>
      <c r="H1015" t="s">
        <v>2033</v>
      </c>
    </row>
    <row r="1016" spans="2:8" x14ac:dyDescent="0.55000000000000004">
      <c r="B1016" s="7"/>
      <c r="D1016" t="s">
        <v>2038</v>
      </c>
      <c r="E1016">
        <v>0</v>
      </c>
      <c r="F1016" t="s">
        <v>2039</v>
      </c>
      <c r="G1016" t="s">
        <v>2040</v>
      </c>
      <c r="H1016" t="s">
        <v>2041</v>
      </c>
    </row>
    <row r="1017" spans="2:8" x14ac:dyDescent="0.55000000000000004">
      <c r="B1017" s="7"/>
      <c r="D1017" t="s">
        <v>2042</v>
      </c>
      <c r="E1017">
        <v>0</v>
      </c>
      <c r="F1017" t="s">
        <v>2043</v>
      </c>
      <c r="G1017" t="s">
        <v>2044</v>
      </c>
      <c r="H1017" t="s">
        <v>2045</v>
      </c>
    </row>
    <row r="1018" spans="2:8" x14ac:dyDescent="0.55000000000000004">
      <c r="B1018" s="7"/>
      <c r="D1018" t="s">
        <v>2050</v>
      </c>
      <c r="E1018">
        <v>0</v>
      </c>
      <c r="F1018" t="s">
        <v>2051</v>
      </c>
      <c r="G1018" t="s">
        <v>2052</v>
      </c>
      <c r="H1018" t="s">
        <v>2053</v>
      </c>
    </row>
    <row r="1019" spans="2:8" x14ac:dyDescent="0.55000000000000004">
      <c r="B1019" s="7"/>
      <c r="D1019" t="s">
        <v>2057</v>
      </c>
      <c r="E1019">
        <v>0</v>
      </c>
      <c r="F1019" t="s">
        <v>2058</v>
      </c>
      <c r="G1019" t="s">
        <v>2059</v>
      </c>
      <c r="H1019" t="s">
        <v>2060</v>
      </c>
    </row>
    <row r="1020" spans="2:8" x14ac:dyDescent="0.55000000000000004">
      <c r="B1020" s="7"/>
      <c r="D1020" t="s">
        <v>2061</v>
      </c>
      <c r="E1020">
        <v>0</v>
      </c>
      <c r="F1020" t="s">
        <v>2062</v>
      </c>
      <c r="G1020" t="s">
        <v>2063</v>
      </c>
      <c r="H1020" t="s">
        <v>2064</v>
      </c>
    </row>
    <row r="1021" spans="2:8" x14ac:dyDescent="0.55000000000000004">
      <c r="B1021" s="7"/>
      <c r="D1021" t="s">
        <v>2065</v>
      </c>
      <c r="E1021">
        <v>0</v>
      </c>
      <c r="F1021" t="s">
        <v>2066</v>
      </c>
      <c r="G1021" t="s">
        <v>2067</v>
      </c>
      <c r="H1021" t="s">
        <v>2068</v>
      </c>
    </row>
    <row r="1022" spans="2:8" x14ac:dyDescent="0.55000000000000004">
      <c r="B1022" s="7"/>
      <c r="D1022" t="s">
        <v>2069</v>
      </c>
      <c r="E1022">
        <v>0</v>
      </c>
      <c r="F1022" t="s">
        <v>2070</v>
      </c>
      <c r="G1022" t="s">
        <v>2071</v>
      </c>
      <c r="H1022" t="s">
        <v>2072</v>
      </c>
    </row>
    <row r="1023" spans="2:8" x14ac:dyDescent="0.55000000000000004">
      <c r="B1023" s="7"/>
      <c r="D1023" t="s">
        <v>2073</v>
      </c>
      <c r="F1023" t="s">
        <v>2074</v>
      </c>
      <c r="H1023" t="s">
        <v>2075</v>
      </c>
    </row>
    <row r="1024" spans="2:8" x14ac:dyDescent="0.55000000000000004">
      <c r="B1024" s="7"/>
      <c r="D1024" t="s">
        <v>2076</v>
      </c>
      <c r="E1024">
        <v>0</v>
      </c>
      <c r="F1024" t="s">
        <v>2077</v>
      </c>
      <c r="G1024" t="s">
        <v>2078</v>
      </c>
      <c r="H1024" t="s">
        <v>2075</v>
      </c>
    </row>
    <row r="1025" spans="2:8" x14ac:dyDescent="0.55000000000000004">
      <c r="B1025" s="7"/>
      <c r="D1025" t="s">
        <v>2079</v>
      </c>
      <c r="E1025">
        <v>1</v>
      </c>
      <c r="F1025" t="s">
        <v>2074</v>
      </c>
      <c r="G1025" t="s">
        <v>2080</v>
      </c>
      <c r="H1025" t="s">
        <v>2075</v>
      </c>
    </row>
    <row r="1026" spans="2:8" x14ac:dyDescent="0.55000000000000004">
      <c r="B1026" s="7"/>
      <c r="D1026" t="s">
        <v>2081</v>
      </c>
      <c r="E1026">
        <v>2</v>
      </c>
      <c r="F1026" t="s">
        <v>2082</v>
      </c>
      <c r="G1026" t="s">
        <v>2083</v>
      </c>
      <c r="H1026" t="s">
        <v>2075</v>
      </c>
    </row>
    <row r="1027" spans="2:8" x14ac:dyDescent="0.55000000000000004">
      <c r="B1027" s="7"/>
      <c r="D1027" t="s">
        <v>2084</v>
      </c>
      <c r="E1027">
        <v>3</v>
      </c>
      <c r="F1027" t="s">
        <v>2085</v>
      </c>
      <c r="G1027" t="s">
        <v>2086</v>
      </c>
      <c r="H1027" t="s">
        <v>2075</v>
      </c>
    </row>
    <row r="1028" spans="2:8" x14ac:dyDescent="0.55000000000000004">
      <c r="B1028" s="7"/>
      <c r="D1028" t="s">
        <v>2087</v>
      </c>
      <c r="E1028">
        <v>999</v>
      </c>
      <c r="F1028" t="s">
        <v>135</v>
      </c>
      <c r="G1028" t="s">
        <v>2088</v>
      </c>
      <c r="H1028" t="s">
        <v>2075</v>
      </c>
    </row>
    <row r="1029" spans="2:8" x14ac:dyDescent="0.55000000000000004">
      <c r="B1029" s="7"/>
      <c r="D1029" t="s">
        <v>2089</v>
      </c>
      <c r="E1029">
        <v>0</v>
      </c>
      <c r="F1029" t="s">
        <v>2090</v>
      </c>
      <c r="G1029" t="s">
        <v>2091</v>
      </c>
      <c r="H1029" t="s">
        <v>2092</v>
      </c>
    </row>
    <row r="1030" spans="2:8" x14ac:dyDescent="0.55000000000000004">
      <c r="B1030" s="7"/>
      <c r="D1030" t="s">
        <v>2097</v>
      </c>
      <c r="E1030">
        <v>0</v>
      </c>
      <c r="F1030" t="s">
        <v>2098</v>
      </c>
      <c r="G1030" t="s">
        <v>2099</v>
      </c>
      <c r="H1030" t="s">
        <v>2100</v>
      </c>
    </row>
    <row r="1031" spans="2:8" x14ac:dyDescent="0.55000000000000004">
      <c r="B1031" s="7"/>
      <c r="D1031" t="s">
        <v>2105</v>
      </c>
      <c r="E1031">
        <v>0</v>
      </c>
      <c r="F1031" t="s">
        <v>2106</v>
      </c>
      <c r="G1031" t="s">
        <v>2107</v>
      </c>
      <c r="H1031" t="s">
        <v>2108</v>
      </c>
    </row>
    <row r="1032" spans="2:8" x14ac:dyDescent="0.55000000000000004">
      <c r="B1032" s="7"/>
      <c r="D1032" t="s">
        <v>2109</v>
      </c>
      <c r="E1032">
        <v>0</v>
      </c>
      <c r="F1032" t="s">
        <v>1067</v>
      </c>
      <c r="G1032" t="s">
        <v>2110</v>
      </c>
      <c r="H1032" t="s">
        <v>2111</v>
      </c>
    </row>
    <row r="1033" spans="2:8" x14ac:dyDescent="0.55000000000000004">
      <c r="B1033" s="7"/>
      <c r="D1033" t="s">
        <v>2112</v>
      </c>
      <c r="E1033">
        <v>0</v>
      </c>
      <c r="F1033" t="s">
        <v>2113</v>
      </c>
      <c r="G1033" t="s">
        <v>2114</v>
      </c>
      <c r="H1033" t="s">
        <v>2115</v>
      </c>
    </row>
    <row r="1034" spans="2:8" x14ac:dyDescent="0.55000000000000004">
      <c r="B1034" s="7"/>
      <c r="D1034" t="s">
        <v>2116</v>
      </c>
      <c r="E1034">
        <v>0</v>
      </c>
      <c r="F1034" t="s">
        <v>2117</v>
      </c>
      <c r="G1034" t="s">
        <v>2118</v>
      </c>
      <c r="H1034" t="s">
        <v>2119</v>
      </c>
    </row>
    <row r="1035" spans="2:8" x14ac:dyDescent="0.55000000000000004">
      <c r="B1035" s="7"/>
      <c r="D1035" t="s">
        <v>2120</v>
      </c>
      <c r="E1035">
        <v>0</v>
      </c>
      <c r="F1035" t="s">
        <v>2121</v>
      </c>
      <c r="G1035" t="s">
        <v>2122</v>
      </c>
      <c r="H1035" t="s">
        <v>2123</v>
      </c>
    </row>
    <row r="1036" spans="2:8" x14ac:dyDescent="0.55000000000000004">
      <c r="B1036" s="7"/>
      <c r="D1036" t="s">
        <v>2124</v>
      </c>
      <c r="E1036">
        <v>0</v>
      </c>
      <c r="F1036" t="s">
        <v>2125</v>
      </c>
      <c r="G1036" t="s">
        <v>2126</v>
      </c>
      <c r="H1036" t="s">
        <v>2127</v>
      </c>
    </row>
    <row r="1037" spans="2:8" x14ac:dyDescent="0.55000000000000004">
      <c r="B1037" s="7"/>
      <c r="D1037" t="s">
        <v>2128</v>
      </c>
      <c r="E1037">
        <v>0</v>
      </c>
      <c r="F1037" t="s">
        <v>2129</v>
      </c>
      <c r="G1037" t="s">
        <v>2130</v>
      </c>
      <c r="H1037" t="s">
        <v>2131</v>
      </c>
    </row>
    <row r="1038" spans="2:8" x14ac:dyDescent="0.55000000000000004">
      <c r="B1038" s="7"/>
      <c r="D1038" t="s">
        <v>2135</v>
      </c>
      <c r="E1038">
        <v>0</v>
      </c>
      <c r="F1038" t="s">
        <v>2136</v>
      </c>
      <c r="G1038" t="s">
        <v>2137</v>
      </c>
      <c r="H1038" t="s">
        <v>2138</v>
      </c>
    </row>
    <row r="1039" spans="2:8" x14ac:dyDescent="0.55000000000000004">
      <c r="B1039" s="7"/>
      <c r="D1039" t="s">
        <v>2139</v>
      </c>
      <c r="E1039">
        <v>0</v>
      </c>
      <c r="F1039" t="s">
        <v>2140</v>
      </c>
      <c r="G1039" t="s">
        <v>2141</v>
      </c>
      <c r="H1039" t="s">
        <v>2142</v>
      </c>
    </row>
    <row r="1040" spans="2:8" x14ac:dyDescent="0.55000000000000004">
      <c r="B1040" s="7"/>
      <c r="D1040" t="s">
        <v>2151</v>
      </c>
      <c r="E1040">
        <v>0</v>
      </c>
      <c r="F1040" t="s">
        <v>2152</v>
      </c>
      <c r="G1040" t="s">
        <v>2153</v>
      </c>
      <c r="H1040" t="s">
        <v>2154</v>
      </c>
    </row>
    <row r="1041" spans="2:8" x14ac:dyDescent="0.55000000000000004">
      <c r="B1041" s="7"/>
      <c r="D1041" t="s">
        <v>2155</v>
      </c>
      <c r="E1041">
        <v>0</v>
      </c>
      <c r="F1041" t="s">
        <v>2156</v>
      </c>
      <c r="G1041" t="s">
        <v>2157</v>
      </c>
      <c r="H1041" t="s">
        <v>2158</v>
      </c>
    </row>
    <row r="1042" spans="2:8" x14ac:dyDescent="0.55000000000000004">
      <c r="B1042" s="7"/>
      <c r="D1042" t="s">
        <v>2159</v>
      </c>
      <c r="E1042">
        <v>0</v>
      </c>
      <c r="F1042" t="s">
        <v>2160</v>
      </c>
      <c r="G1042" t="s">
        <v>2161</v>
      </c>
      <c r="H1042" t="s">
        <v>2162</v>
      </c>
    </row>
    <row r="1043" spans="2:8" x14ac:dyDescent="0.55000000000000004">
      <c r="B1043" s="7"/>
      <c r="D1043" t="s">
        <v>2163</v>
      </c>
      <c r="E1043">
        <v>0</v>
      </c>
      <c r="F1043" t="s">
        <v>2164</v>
      </c>
      <c r="G1043" t="s">
        <v>2165</v>
      </c>
      <c r="H1043" t="s">
        <v>2166</v>
      </c>
    </row>
    <row r="1044" spans="2:8" x14ac:dyDescent="0.55000000000000004">
      <c r="B1044" s="7"/>
      <c r="D1044" t="s">
        <v>2167</v>
      </c>
      <c r="E1044">
        <v>0</v>
      </c>
      <c r="F1044" t="s">
        <v>2168</v>
      </c>
      <c r="G1044" t="s">
        <v>2169</v>
      </c>
      <c r="H1044" t="s">
        <v>2170</v>
      </c>
    </row>
    <row r="1045" spans="2:8" x14ac:dyDescent="0.55000000000000004">
      <c r="B1045" s="7"/>
      <c r="D1045" t="s">
        <v>2175</v>
      </c>
      <c r="E1045">
        <v>0</v>
      </c>
      <c r="F1045" t="s">
        <v>2176</v>
      </c>
      <c r="G1045" t="s">
        <v>2177</v>
      </c>
      <c r="H1045" t="s">
        <v>2178</v>
      </c>
    </row>
    <row r="1046" spans="2:8" x14ac:dyDescent="0.55000000000000004">
      <c r="B1046" s="7"/>
      <c r="D1046" t="s">
        <v>2202</v>
      </c>
      <c r="E1046">
        <v>0</v>
      </c>
      <c r="F1046" t="s">
        <v>2203</v>
      </c>
      <c r="G1046" t="s">
        <v>2204</v>
      </c>
      <c r="H1046" t="s">
        <v>2205</v>
      </c>
    </row>
    <row r="1047" spans="2:8" x14ac:dyDescent="0.55000000000000004">
      <c r="B1047" s="7"/>
      <c r="D1047" t="s">
        <v>2206</v>
      </c>
      <c r="E1047">
        <v>0</v>
      </c>
      <c r="F1047" t="s">
        <v>2207</v>
      </c>
      <c r="G1047" t="s">
        <v>2204</v>
      </c>
      <c r="H1047" t="s">
        <v>2208</v>
      </c>
    </row>
    <row r="1048" spans="2:8" x14ac:dyDescent="0.55000000000000004">
      <c r="B1048" s="7"/>
      <c r="D1048" t="s">
        <v>2209</v>
      </c>
      <c r="E1048">
        <v>0</v>
      </c>
      <c r="F1048" t="s">
        <v>2210</v>
      </c>
      <c r="G1048" t="s">
        <v>2211</v>
      </c>
      <c r="H1048" t="s">
        <v>2212</v>
      </c>
    </row>
    <row r="1049" spans="2:8" x14ac:dyDescent="0.55000000000000004">
      <c r="B1049" s="7"/>
      <c r="D1049" t="s">
        <v>2213</v>
      </c>
      <c r="E1049">
        <v>0</v>
      </c>
      <c r="F1049" t="s">
        <v>2214</v>
      </c>
      <c r="G1049" t="s">
        <v>2215</v>
      </c>
      <c r="H1049" t="s">
        <v>2216</v>
      </c>
    </row>
    <row r="1050" spans="2:8" x14ac:dyDescent="0.55000000000000004">
      <c r="B1050" s="7"/>
      <c r="D1050" t="s">
        <v>2217</v>
      </c>
      <c r="E1050">
        <v>0</v>
      </c>
      <c r="F1050" t="s">
        <v>2218</v>
      </c>
      <c r="G1050" t="s">
        <v>2219</v>
      </c>
      <c r="H1050" t="s">
        <v>2220</v>
      </c>
    </row>
    <row r="1051" spans="2:8" x14ac:dyDescent="0.55000000000000004">
      <c r="B1051" s="7"/>
      <c r="D1051" t="s">
        <v>2221</v>
      </c>
      <c r="E1051">
        <v>0</v>
      </c>
      <c r="F1051" t="s">
        <v>2222</v>
      </c>
      <c r="G1051" t="s">
        <v>2223</v>
      </c>
      <c r="H1051" t="s">
        <v>2224</v>
      </c>
    </row>
    <row r="1052" spans="2:8" x14ac:dyDescent="0.55000000000000004">
      <c r="B1052" s="7"/>
      <c r="D1052" t="s">
        <v>2225</v>
      </c>
      <c r="E1052">
        <v>0</v>
      </c>
      <c r="F1052" t="s">
        <v>2226</v>
      </c>
      <c r="G1052" t="s">
        <v>2227</v>
      </c>
      <c r="H1052" t="s">
        <v>2228</v>
      </c>
    </row>
    <row r="1053" spans="2:8" x14ac:dyDescent="0.55000000000000004">
      <c r="B1053" s="7"/>
      <c r="F1053" t="s">
        <v>2229</v>
      </c>
      <c r="H1053" t="s">
        <v>2230</v>
      </c>
    </row>
    <row r="1054" spans="2:8" x14ac:dyDescent="0.55000000000000004">
      <c r="B1054" s="7"/>
      <c r="D1054" t="s">
        <v>2231</v>
      </c>
      <c r="E1054">
        <v>0</v>
      </c>
      <c r="F1054" t="s">
        <v>2232</v>
      </c>
      <c r="G1054" t="s">
        <v>2233</v>
      </c>
      <c r="H1054" t="s">
        <v>2234</v>
      </c>
    </row>
    <row r="1055" spans="2:8" x14ac:dyDescent="0.55000000000000004">
      <c r="B1055" s="7"/>
      <c r="D1055" t="s">
        <v>2235</v>
      </c>
      <c r="E1055">
        <v>0</v>
      </c>
      <c r="F1055" t="s">
        <v>2236</v>
      </c>
      <c r="G1055" t="s">
        <v>2237</v>
      </c>
      <c r="H1055" t="s">
        <v>2238</v>
      </c>
    </row>
    <row r="1056" spans="2:8" x14ac:dyDescent="0.55000000000000004">
      <c r="B1056" s="7"/>
      <c r="D1056" t="s">
        <v>2239</v>
      </c>
      <c r="E1056">
        <v>0</v>
      </c>
      <c r="F1056" t="s">
        <v>2240</v>
      </c>
      <c r="G1056" t="s">
        <v>2241</v>
      </c>
      <c r="H1056" t="s">
        <v>2242</v>
      </c>
    </row>
    <row r="1057" spans="2:8" x14ac:dyDescent="0.55000000000000004">
      <c r="B1057" s="7"/>
      <c r="D1057" t="s">
        <v>2243</v>
      </c>
      <c r="E1057">
        <v>0</v>
      </c>
      <c r="F1057" t="s">
        <v>2244</v>
      </c>
      <c r="G1057" t="s">
        <v>2245</v>
      </c>
      <c r="H1057" t="s">
        <v>2246</v>
      </c>
    </row>
    <row r="1058" spans="2:8" x14ac:dyDescent="0.55000000000000004">
      <c r="B1058" s="7"/>
      <c r="D1058" t="s">
        <v>2247</v>
      </c>
      <c r="E1058">
        <v>0</v>
      </c>
      <c r="F1058" t="s">
        <v>2248</v>
      </c>
      <c r="G1058" t="s">
        <v>2249</v>
      </c>
      <c r="H1058" t="s">
        <v>2250</v>
      </c>
    </row>
    <row r="1059" spans="2:8" x14ac:dyDescent="0.55000000000000004">
      <c r="B1059" s="7"/>
      <c r="D1059" t="s">
        <v>2251</v>
      </c>
      <c r="E1059">
        <v>0</v>
      </c>
      <c r="F1059" t="s">
        <v>2252</v>
      </c>
      <c r="G1059" t="s">
        <v>2253</v>
      </c>
      <c r="H1059" t="s">
        <v>2254</v>
      </c>
    </row>
    <row r="1060" spans="2:8" x14ac:dyDescent="0.55000000000000004">
      <c r="B1060" s="7"/>
      <c r="D1060" t="s">
        <v>2263</v>
      </c>
      <c r="E1060">
        <v>0</v>
      </c>
      <c r="F1060" t="s">
        <v>2264</v>
      </c>
      <c r="G1060" t="s">
        <v>2265</v>
      </c>
      <c r="H1060" t="s">
        <v>2266</v>
      </c>
    </row>
    <row r="1061" spans="2:8" x14ac:dyDescent="0.55000000000000004">
      <c r="B1061" s="7"/>
      <c r="D1061" t="s">
        <v>2271</v>
      </c>
      <c r="E1061">
        <v>0</v>
      </c>
      <c r="F1061" t="s">
        <v>2272</v>
      </c>
      <c r="G1061" t="s">
        <v>2273</v>
      </c>
      <c r="H1061" t="s">
        <v>2274</v>
      </c>
    </row>
    <row r="1062" spans="2:8" x14ac:dyDescent="0.55000000000000004">
      <c r="B1062" s="7"/>
      <c r="D1062" t="s">
        <v>2279</v>
      </c>
      <c r="E1062">
        <v>0</v>
      </c>
      <c r="F1062" t="s">
        <v>2280</v>
      </c>
      <c r="G1062" t="s">
        <v>2281</v>
      </c>
      <c r="H1062" t="s">
        <v>2282</v>
      </c>
    </row>
    <row r="1063" spans="2:8" x14ac:dyDescent="0.55000000000000004">
      <c r="B1063" s="7"/>
      <c r="D1063" t="s">
        <v>2283</v>
      </c>
      <c r="E1063">
        <v>0</v>
      </c>
      <c r="F1063" t="s">
        <v>2284</v>
      </c>
      <c r="G1063" t="s">
        <v>2285</v>
      </c>
      <c r="H1063" t="s">
        <v>2286</v>
      </c>
    </row>
    <row r="1064" spans="2:8" x14ac:dyDescent="0.55000000000000004">
      <c r="B1064" s="7"/>
      <c r="D1064" t="s">
        <v>2287</v>
      </c>
      <c r="E1064">
        <v>0</v>
      </c>
      <c r="F1064" t="s">
        <v>1548</v>
      </c>
      <c r="G1064" t="s">
        <v>2288</v>
      </c>
      <c r="H1064" t="s">
        <v>2289</v>
      </c>
    </row>
    <row r="1065" spans="2:8" x14ac:dyDescent="0.55000000000000004">
      <c r="B1065" s="7"/>
      <c r="D1065" t="s">
        <v>2290</v>
      </c>
      <c r="E1065">
        <v>0</v>
      </c>
      <c r="F1065" t="s">
        <v>2291</v>
      </c>
      <c r="G1065" t="s">
        <v>2292</v>
      </c>
      <c r="H1065" t="s">
        <v>2293</v>
      </c>
    </row>
    <row r="1066" spans="2:8" x14ac:dyDescent="0.55000000000000004">
      <c r="B1066" s="7"/>
      <c r="D1066" t="s">
        <v>2294</v>
      </c>
      <c r="E1066">
        <v>0</v>
      </c>
      <c r="F1066" t="s">
        <v>2295</v>
      </c>
      <c r="G1066" t="s">
        <v>2296</v>
      </c>
      <c r="H1066" t="s">
        <v>2297</v>
      </c>
    </row>
    <row r="1067" spans="2:8" x14ac:dyDescent="0.55000000000000004">
      <c r="B1067" s="7"/>
      <c r="D1067" t="s">
        <v>2298</v>
      </c>
      <c r="E1067">
        <v>0</v>
      </c>
      <c r="F1067" t="s">
        <v>2284</v>
      </c>
      <c r="G1067" t="s">
        <v>2299</v>
      </c>
      <c r="H1067" t="s">
        <v>2300</v>
      </c>
    </row>
    <row r="1068" spans="2:8" x14ac:dyDescent="0.55000000000000004">
      <c r="B1068" s="7"/>
      <c r="D1068" t="s">
        <v>2301</v>
      </c>
      <c r="E1068">
        <v>0</v>
      </c>
      <c r="F1068" t="s">
        <v>2302</v>
      </c>
      <c r="G1068" t="s">
        <v>2303</v>
      </c>
      <c r="H1068" t="s">
        <v>2304</v>
      </c>
    </row>
    <row r="1069" spans="2:8" x14ac:dyDescent="0.55000000000000004">
      <c r="B1069" s="7"/>
      <c r="D1069" t="s">
        <v>2305</v>
      </c>
      <c r="E1069">
        <v>0</v>
      </c>
      <c r="F1069" t="s">
        <v>2306</v>
      </c>
      <c r="G1069" t="s">
        <v>2307</v>
      </c>
      <c r="H1069" t="s">
        <v>2308</v>
      </c>
    </row>
    <row r="1070" spans="2:8" x14ac:dyDescent="0.55000000000000004">
      <c r="B1070" s="7"/>
      <c r="D1070" t="s">
        <v>2309</v>
      </c>
      <c r="E1070">
        <v>0</v>
      </c>
      <c r="F1070" t="s">
        <v>2310</v>
      </c>
      <c r="G1070" t="s">
        <v>2311</v>
      </c>
      <c r="H1070" t="s">
        <v>2312</v>
      </c>
    </row>
    <row r="1071" spans="2:8" x14ac:dyDescent="0.55000000000000004">
      <c r="B1071" s="7"/>
      <c r="D1071" t="s">
        <v>2318</v>
      </c>
      <c r="E1071">
        <v>0</v>
      </c>
      <c r="F1071" t="s">
        <v>2319</v>
      </c>
      <c r="G1071" t="s">
        <v>2320</v>
      </c>
      <c r="H1071" t="s">
        <v>2317</v>
      </c>
    </row>
    <row r="1072" spans="2:8" x14ac:dyDescent="0.55000000000000004">
      <c r="B1072" s="7"/>
      <c r="D1072" t="s">
        <v>2321</v>
      </c>
      <c r="E1072">
        <v>1</v>
      </c>
      <c r="F1072" t="s">
        <v>2322</v>
      </c>
      <c r="G1072" t="s">
        <v>2323</v>
      </c>
      <c r="H1072" t="s">
        <v>2317</v>
      </c>
    </row>
    <row r="1073" spans="2:8" x14ac:dyDescent="0.55000000000000004">
      <c r="B1073" s="7"/>
      <c r="D1073" t="s">
        <v>2324</v>
      </c>
      <c r="E1073">
        <v>2</v>
      </c>
      <c r="F1073" t="s">
        <v>2325</v>
      </c>
      <c r="G1073" t="s">
        <v>2326</v>
      </c>
      <c r="H1073" t="s">
        <v>2317</v>
      </c>
    </row>
    <row r="1074" spans="2:8" x14ac:dyDescent="0.55000000000000004">
      <c r="B1074" s="7"/>
      <c r="D1074" t="s">
        <v>2327</v>
      </c>
      <c r="E1074">
        <v>3</v>
      </c>
      <c r="F1074" t="s">
        <v>2328</v>
      </c>
      <c r="G1074" t="s">
        <v>2329</v>
      </c>
      <c r="H1074" t="s">
        <v>2317</v>
      </c>
    </row>
    <row r="1075" spans="2:8" x14ac:dyDescent="0.55000000000000004">
      <c r="B1075" s="7"/>
      <c r="D1075" t="s">
        <v>2330</v>
      </c>
      <c r="E1075">
        <v>4</v>
      </c>
      <c r="F1075" t="s">
        <v>2331</v>
      </c>
      <c r="G1075" t="s">
        <v>2332</v>
      </c>
      <c r="H1075" t="s">
        <v>2317</v>
      </c>
    </row>
    <row r="1076" spans="2:8" x14ac:dyDescent="0.55000000000000004">
      <c r="B1076" s="7"/>
      <c r="D1076" t="s">
        <v>2333</v>
      </c>
      <c r="E1076">
        <v>5</v>
      </c>
      <c r="F1076" t="s">
        <v>2334</v>
      </c>
      <c r="G1076" t="s">
        <v>2335</v>
      </c>
      <c r="H1076" t="s">
        <v>2317</v>
      </c>
    </row>
    <row r="1077" spans="2:8" x14ac:dyDescent="0.55000000000000004">
      <c r="B1077" s="7"/>
      <c r="D1077" t="s">
        <v>2336</v>
      </c>
      <c r="E1077">
        <v>6</v>
      </c>
      <c r="F1077" t="s">
        <v>1139</v>
      </c>
      <c r="G1077" t="s">
        <v>2337</v>
      </c>
      <c r="H1077" t="s">
        <v>2317</v>
      </c>
    </row>
    <row r="1078" spans="2:8" x14ac:dyDescent="0.55000000000000004">
      <c r="B1078" s="7"/>
      <c r="D1078" t="s">
        <v>2338</v>
      </c>
      <c r="E1078">
        <v>7</v>
      </c>
      <c r="F1078" t="s">
        <v>2339</v>
      </c>
      <c r="G1078" t="s">
        <v>2340</v>
      </c>
      <c r="H1078" t="s">
        <v>2317</v>
      </c>
    </row>
    <row r="1079" spans="2:8" x14ac:dyDescent="0.55000000000000004">
      <c r="B1079" s="7"/>
      <c r="D1079" t="s">
        <v>2341</v>
      </c>
      <c r="E1079">
        <v>8</v>
      </c>
      <c r="F1079" t="s">
        <v>2342</v>
      </c>
      <c r="G1079" t="s">
        <v>2343</v>
      </c>
      <c r="H1079" t="s">
        <v>2317</v>
      </c>
    </row>
    <row r="1080" spans="2:8" x14ac:dyDescent="0.55000000000000004">
      <c r="B1080" s="7"/>
      <c r="D1080" t="s">
        <v>2344</v>
      </c>
      <c r="E1080">
        <v>9</v>
      </c>
      <c r="F1080" t="s">
        <v>2345</v>
      </c>
      <c r="G1080" t="s">
        <v>2346</v>
      </c>
      <c r="H1080" t="s">
        <v>2317</v>
      </c>
    </row>
    <row r="1081" spans="2:8" x14ac:dyDescent="0.55000000000000004">
      <c r="B1081" s="7"/>
      <c r="D1081" t="s">
        <v>2347</v>
      </c>
      <c r="E1081">
        <v>999</v>
      </c>
      <c r="F1081" t="s">
        <v>135</v>
      </c>
      <c r="G1081" t="s">
        <v>2348</v>
      </c>
      <c r="H1081" t="s">
        <v>2317</v>
      </c>
    </row>
    <row r="1082" spans="2:8" x14ac:dyDescent="0.55000000000000004">
      <c r="B1082" s="7"/>
      <c r="D1082" t="s">
        <v>2349</v>
      </c>
      <c r="E1082">
        <v>0</v>
      </c>
      <c r="F1082" t="s">
        <v>2350</v>
      </c>
      <c r="G1082" t="s">
        <v>2351</v>
      </c>
      <c r="H1082" t="s">
        <v>2352</v>
      </c>
    </row>
    <row r="1083" spans="2:8" x14ac:dyDescent="0.55000000000000004">
      <c r="B1083" s="7"/>
      <c r="D1083" t="s">
        <v>2353</v>
      </c>
      <c r="E1083">
        <v>0</v>
      </c>
      <c r="F1083" t="s">
        <v>2354</v>
      </c>
      <c r="G1083" t="s">
        <v>2355</v>
      </c>
      <c r="H1083" t="s">
        <v>2356</v>
      </c>
    </row>
    <row r="1084" spans="2:8" x14ac:dyDescent="0.55000000000000004">
      <c r="B1084" s="7"/>
      <c r="D1084" t="s">
        <v>2361</v>
      </c>
      <c r="E1084">
        <v>0</v>
      </c>
      <c r="F1084" t="s">
        <v>2362</v>
      </c>
      <c r="G1084" t="s">
        <v>2363</v>
      </c>
      <c r="H1084" t="s">
        <v>2364</v>
      </c>
    </row>
    <row r="1085" spans="2:8" x14ac:dyDescent="0.55000000000000004">
      <c r="B1085" s="7"/>
      <c r="D1085" t="s">
        <v>2369</v>
      </c>
      <c r="E1085">
        <v>0</v>
      </c>
      <c r="F1085" t="s">
        <v>2370</v>
      </c>
      <c r="G1085" t="s">
        <v>2371</v>
      </c>
      <c r="H1085" t="s">
        <v>2372</v>
      </c>
    </row>
    <row r="1086" spans="2:8" x14ac:dyDescent="0.55000000000000004">
      <c r="B1086" s="7"/>
      <c r="D1086" t="s">
        <v>2373</v>
      </c>
      <c r="E1086">
        <v>0</v>
      </c>
      <c r="F1086" t="s">
        <v>2374</v>
      </c>
      <c r="G1086" t="s">
        <v>2375</v>
      </c>
      <c r="H1086" t="s">
        <v>2376</v>
      </c>
    </row>
    <row r="1087" spans="2:8" x14ac:dyDescent="0.55000000000000004">
      <c r="B1087" s="7"/>
      <c r="D1087" t="s">
        <v>2377</v>
      </c>
      <c r="E1087">
        <v>0</v>
      </c>
      <c r="F1087" t="s">
        <v>2378</v>
      </c>
      <c r="G1087" t="s">
        <v>2379</v>
      </c>
      <c r="H1087" t="s">
        <v>2380</v>
      </c>
    </row>
    <row r="1088" spans="2:8" x14ac:dyDescent="0.55000000000000004">
      <c r="B1088" s="7"/>
      <c r="D1088" t="s">
        <v>2381</v>
      </c>
      <c r="E1088">
        <v>0</v>
      </c>
      <c r="F1088" t="s">
        <v>2382</v>
      </c>
      <c r="G1088" t="s">
        <v>2383</v>
      </c>
      <c r="H1088" t="s">
        <v>2384</v>
      </c>
    </row>
    <row r="1089" spans="2:8" x14ac:dyDescent="0.55000000000000004">
      <c r="B1089" s="7"/>
      <c r="D1089" t="s">
        <v>2401</v>
      </c>
      <c r="E1089">
        <v>0</v>
      </c>
      <c r="F1089" t="s">
        <v>2402</v>
      </c>
      <c r="G1089" t="s">
        <v>2403</v>
      </c>
      <c r="H1089" t="s">
        <v>2404</v>
      </c>
    </row>
    <row r="1090" spans="2:8" x14ac:dyDescent="0.55000000000000004">
      <c r="B1090" s="7"/>
      <c r="D1090" t="s">
        <v>2421</v>
      </c>
      <c r="E1090">
        <v>0</v>
      </c>
      <c r="F1090" t="s">
        <v>2422</v>
      </c>
      <c r="G1090" t="s">
        <v>2423</v>
      </c>
      <c r="H1090" t="s">
        <v>2424</v>
      </c>
    </row>
    <row r="1091" spans="2:8" x14ac:dyDescent="0.55000000000000004">
      <c r="B1091" s="7"/>
      <c r="D1091" t="s">
        <v>2425</v>
      </c>
      <c r="E1091">
        <v>0</v>
      </c>
      <c r="F1091" t="s">
        <v>2426</v>
      </c>
      <c r="G1091" t="s">
        <v>2427</v>
      </c>
      <c r="H1091" t="s">
        <v>2428</v>
      </c>
    </row>
    <row r="1092" spans="2:8" x14ac:dyDescent="0.55000000000000004">
      <c r="B1092" s="7"/>
      <c r="D1092" t="s">
        <v>2429</v>
      </c>
      <c r="E1092">
        <v>0</v>
      </c>
      <c r="F1092" t="s">
        <v>2430</v>
      </c>
      <c r="G1092" t="s">
        <v>2431</v>
      </c>
      <c r="H1092" t="s">
        <v>2432</v>
      </c>
    </row>
    <row r="1093" spans="2:8" x14ac:dyDescent="0.55000000000000004">
      <c r="B1093" s="7"/>
      <c r="D1093" t="s">
        <v>2433</v>
      </c>
      <c r="E1093">
        <v>0</v>
      </c>
      <c r="F1093" t="s">
        <v>2434</v>
      </c>
      <c r="G1093" t="s">
        <v>2435</v>
      </c>
      <c r="H1093" t="s">
        <v>2436</v>
      </c>
    </row>
    <row r="1094" spans="2:8" x14ac:dyDescent="0.55000000000000004">
      <c r="B1094" s="7"/>
      <c r="D1094" t="s">
        <v>2437</v>
      </c>
      <c r="E1094">
        <v>0</v>
      </c>
      <c r="F1094" t="s">
        <v>2438</v>
      </c>
      <c r="G1094" t="s">
        <v>2439</v>
      </c>
      <c r="H1094" t="s">
        <v>2440</v>
      </c>
    </row>
    <row r="1095" spans="2:8" x14ac:dyDescent="0.55000000000000004">
      <c r="B1095" s="7"/>
      <c r="D1095" t="s">
        <v>2441</v>
      </c>
      <c r="E1095">
        <v>0</v>
      </c>
      <c r="F1095" t="s">
        <v>2442</v>
      </c>
      <c r="G1095" t="s">
        <v>2443</v>
      </c>
      <c r="H1095" t="s">
        <v>2444</v>
      </c>
    </row>
    <row r="1096" spans="2:8" x14ac:dyDescent="0.55000000000000004">
      <c r="B1096" s="7"/>
      <c r="D1096" t="s">
        <v>2454</v>
      </c>
      <c r="E1096">
        <v>0</v>
      </c>
      <c r="F1096" t="s">
        <v>2449</v>
      </c>
      <c r="G1096" t="s">
        <v>2455</v>
      </c>
      <c r="H1096" t="s">
        <v>2456</v>
      </c>
    </row>
    <row r="1097" spans="2:8" x14ac:dyDescent="0.55000000000000004">
      <c r="B1097" s="7"/>
      <c r="D1097" t="s">
        <v>2457</v>
      </c>
      <c r="E1097">
        <v>0</v>
      </c>
      <c r="F1097" t="s">
        <v>2458</v>
      </c>
      <c r="G1097" t="s">
        <v>2459</v>
      </c>
      <c r="H1097" t="s">
        <v>2460</v>
      </c>
    </row>
    <row r="1098" spans="2:8" x14ac:dyDescent="0.55000000000000004">
      <c r="B1098" s="7"/>
      <c r="D1098" t="s">
        <v>2465</v>
      </c>
      <c r="E1098">
        <v>0</v>
      </c>
      <c r="F1098" t="s">
        <v>2466</v>
      </c>
      <c r="G1098" t="s">
        <v>2467</v>
      </c>
      <c r="H1098" t="s">
        <v>2468</v>
      </c>
    </row>
    <row r="1099" spans="2:8" x14ac:dyDescent="0.55000000000000004">
      <c r="B1099" s="7"/>
      <c r="D1099" t="s">
        <v>2473</v>
      </c>
      <c r="E1099">
        <v>0</v>
      </c>
      <c r="F1099" t="s">
        <v>2474</v>
      </c>
      <c r="G1099" t="s">
        <v>2475</v>
      </c>
      <c r="H1099" t="s">
        <v>2476</v>
      </c>
    </row>
    <row r="1100" spans="2:8" x14ac:dyDescent="0.55000000000000004">
      <c r="B1100" s="7"/>
      <c r="D1100" t="s">
        <v>2477</v>
      </c>
      <c r="E1100">
        <v>0</v>
      </c>
      <c r="F1100" t="s">
        <v>2478</v>
      </c>
      <c r="G1100" t="s">
        <v>2479</v>
      </c>
      <c r="H1100" t="s">
        <v>2480</v>
      </c>
    </row>
    <row r="1101" spans="2:8" x14ac:dyDescent="0.55000000000000004">
      <c r="B1101" s="7"/>
      <c r="D1101" t="s">
        <v>2485</v>
      </c>
      <c r="E1101">
        <v>0</v>
      </c>
      <c r="F1101" t="s">
        <v>2486</v>
      </c>
      <c r="G1101" t="s">
        <v>2487</v>
      </c>
      <c r="H1101" t="s">
        <v>2488</v>
      </c>
    </row>
    <row r="1102" spans="2:8" x14ac:dyDescent="0.55000000000000004">
      <c r="B1102" s="7"/>
      <c r="D1102" t="s">
        <v>2489</v>
      </c>
      <c r="E1102">
        <v>0</v>
      </c>
      <c r="F1102" t="s">
        <v>1274</v>
      </c>
      <c r="G1102" t="s">
        <v>2490</v>
      </c>
      <c r="H1102" t="s">
        <v>2491</v>
      </c>
    </row>
    <row r="1103" spans="2:8" x14ac:dyDescent="0.55000000000000004">
      <c r="B1103" s="7"/>
      <c r="D1103" t="s">
        <v>2496</v>
      </c>
      <c r="E1103">
        <v>0</v>
      </c>
      <c r="F1103" t="s">
        <v>2497</v>
      </c>
      <c r="G1103" t="s">
        <v>2498</v>
      </c>
      <c r="H1103" t="s">
        <v>2499</v>
      </c>
    </row>
    <row r="1104" spans="2:8" x14ac:dyDescent="0.55000000000000004">
      <c r="B1104" s="7"/>
      <c r="D1104" t="s">
        <v>2520</v>
      </c>
      <c r="E1104">
        <v>0</v>
      </c>
      <c r="F1104" t="s">
        <v>2521</v>
      </c>
      <c r="G1104" t="s">
        <v>2522</v>
      </c>
      <c r="H1104" t="s">
        <v>2523</v>
      </c>
    </row>
    <row r="1105" spans="2:8" x14ac:dyDescent="0.55000000000000004">
      <c r="B1105" s="7"/>
      <c r="D1105" t="s">
        <v>2532</v>
      </c>
      <c r="E1105">
        <v>0</v>
      </c>
      <c r="F1105" t="s">
        <v>2533</v>
      </c>
      <c r="G1105" t="s">
        <v>2534</v>
      </c>
      <c r="H1105" t="s">
        <v>2535</v>
      </c>
    </row>
    <row r="1106" spans="2:8" x14ac:dyDescent="0.55000000000000004">
      <c r="B1106" s="7"/>
      <c r="D1106" t="s">
        <v>2552</v>
      </c>
      <c r="E1106">
        <v>0</v>
      </c>
      <c r="F1106" t="s">
        <v>2553</v>
      </c>
      <c r="G1106" t="s">
        <v>2554</v>
      </c>
      <c r="H1106" t="s">
        <v>2555</v>
      </c>
    </row>
    <row r="1107" spans="2:8" x14ac:dyDescent="0.55000000000000004">
      <c r="B1107" s="7"/>
      <c r="D1107" t="s">
        <v>2556</v>
      </c>
      <c r="E1107">
        <v>0</v>
      </c>
      <c r="F1107" t="s">
        <v>2557</v>
      </c>
      <c r="G1107" t="s">
        <v>2558</v>
      </c>
      <c r="H1107" t="s">
        <v>2559</v>
      </c>
    </row>
    <row r="1108" spans="2:8" x14ac:dyDescent="0.55000000000000004">
      <c r="B1108" s="7"/>
      <c r="D1108" t="s">
        <v>2568</v>
      </c>
      <c r="E1108">
        <v>0</v>
      </c>
      <c r="F1108" t="s">
        <v>2569</v>
      </c>
      <c r="G1108" t="s">
        <v>2570</v>
      </c>
      <c r="H1108" t="s">
        <v>2571</v>
      </c>
    </row>
    <row r="1109" spans="2:8" x14ac:dyDescent="0.55000000000000004">
      <c r="B1109" s="7"/>
      <c r="D1109" t="s">
        <v>2572</v>
      </c>
      <c r="E1109">
        <v>0</v>
      </c>
      <c r="F1109" t="s">
        <v>2573</v>
      </c>
      <c r="G1109" t="s">
        <v>2574</v>
      </c>
      <c r="H1109" t="s">
        <v>2575</v>
      </c>
    </row>
    <row r="1110" spans="2:8" x14ac:dyDescent="0.55000000000000004">
      <c r="B1110" s="7"/>
      <c r="D1110" t="s">
        <v>2584</v>
      </c>
      <c r="E1110">
        <v>0</v>
      </c>
      <c r="F1110" t="s">
        <v>2585</v>
      </c>
      <c r="G1110" t="s">
        <v>2586</v>
      </c>
      <c r="H1110" t="s">
        <v>2587</v>
      </c>
    </row>
    <row r="1111" spans="2:8" x14ac:dyDescent="0.55000000000000004">
      <c r="B1111" s="7"/>
      <c r="D1111" t="s">
        <v>2592</v>
      </c>
      <c r="E1111">
        <v>0</v>
      </c>
      <c r="F1111" t="s">
        <v>2593</v>
      </c>
      <c r="G1111" t="s">
        <v>2594</v>
      </c>
      <c r="H1111" t="s">
        <v>2595</v>
      </c>
    </row>
    <row r="1112" spans="2:8" x14ac:dyDescent="0.55000000000000004">
      <c r="B1112" s="7"/>
      <c r="D1112" t="s">
        <v>2604</v>
      </c>
      <c r="E1112">
        <v>0</v>
      </c>
      <c r="F1112" t="s">
        <v>2605</v>
      </c>
      <c r="G1112" t="s">
        <v>2606</v>
      </c>
      <c r="H1112" t="s">
        <v>2607</v>
      </c>
    </row>
    <row r="1113" spans="2:8" x14ac:dyDescent="0.55000000000000004">
      <c r="B1113" s="7"/>
      <c r="D1113" t="s">
        <v>2632</v>
      </c>
      <c r="E1113">
        <v>0</v>
      </c>
      <c r="F1113" t="s">
        <v>2629</v>
      </c>
      <c r="G1113" t="s">
        <v>2633</v>
      </c>
      <c r="H1113" t="s">
        <v>2634</v>
      </c>
    </row>
    <row r="1114" spans="2:8" x14ac:dyDescent="0.55000000000000004">
      <c r="B1114" s="7"/>
      <c r="D1114" t="s">
        <v>2635</v>
      </c>
      <c r="E1114">
        <v>0</v>
      </c>
      <c r="F1114" t="s">
        <v>2636</v>
      </c>
      <c r="G1114" t="s">
        <v>2637</v>
      </c>
      <c r="H1114" t="s">
        <v>2638</v>
      </c>
    </row>
    <row r="1115" spans="2:8" x14ac:dyDescent="0.55000000000000004">
      <c r="B1115" s="7"/>
      <c r="D1115" t="s">
        <v>2639</v>
      </c>
      <c r="E1115">
        <v>0</v>
      </c>
      <c r="F1115" t="s">
        <v>2640</v>
      </c>
      <c r="G1115" t="s">
        <v>2641</v>
      </c>
      <c r="H1115" t="s">
        <v>2642</v>
      </c>
    </row>
    <row r="1116" spans="2:8" x14ac:dyDescent="0.55000000000000004">
      <c r="B1116" s="7"/>
      <c r="D1116" t="s">
        <v>2643</v>
      </c>
      <c r="E1116">
        <v>0</v>
      </c>
      <c r="F1116" t="s">
        <v>2644</v>
      </c>
      <c r="G1116" t="s">
        <v>2645</v>
      </c>
      <c r="H1116" t="s">
        <v>2646</v>
      </c>
    </row>
    <row r="1117" spans="2:8" x14ac:dyDescent="0.55000000000000004">
      <c r="B1117" s="7"/>
      <c r="D1117" t="s">
        <v>2655</v>
      </c>
      <c r="E1117">
        <v>0</v>
      </c>
      <c r="F1117" t="s">
        <v>2656</v>
      </c>
      <c r="G1117" t="s">
        <v>2657</v>
      </c>
      <c r="H1117" t="s">
        <v>2658</v>
      </c>
    </row>
    <row r="1118" spans="2:8" x14ac:dyDescent="0.55000000000000004">
      <c r="B1118" s="7"/>
      <c r="D1118" t="s">
        <v>2659</v>
      </c>
      <c r="E1118">
        <v>0</v>
      </c>
      <c r="F1118" t="s">
        <v>2660</v>
      </c>
      <c r="G1118" t="s">
        <v>2661</v>
      </c>
      <c r="H1118" t="s">
        <v>2662</v>
      </c>
    </row>
    <row r="1119" spans="2:8" x14ac:dyDescent="0.55000000000000004">
      <c r="B1119" s="7"/>
      <c r="D1119" t="s">
        <v>2663</v>
      </c>
      <c r="E1119">
        <v>0</v>
      </c>
      <c r="F1119" t="s">
        <v>2664</v>
      </c>
      <c r="G1119" t="s">
        <v>2665</v>
      </c>
      <c r="H1119" t="s">
        <v>2666</v>
      </c>
    </row>
    <row r="1120" spans="2:8" x14ac:dyDescent="0.55000000000000004">
      <c r="B1120" s="7"/>
      <c r="D1120" t="s">
        <v>2667</v>
      </c>
      <c r="E1120">
        <v>0</v>
      </c>
      <c r="F1120" t="s">
        <v>2668</v>
      </c>
      <c r="G1120" t="s">
        <v>2669</v>
      </c>
      <c r="H1120" t="s">
        <v>2670</v>
      </c>
    </row>
    <row r="1121" spans="2:8" x14ac:dyDescent="0.55000000000000004">
      <c r="B1121" s="7"/>
      <c r="D1121" t="s">
        <v>2679</v>
      </c>
      <c r="E1121">
        <v>0</v>
      </c>
      <c r="F1121" t="s">
        <v>2680</v>
      </c>
      <c r="G1121" t="s">
        <v>2681</v>
      </c>
      <c r="H1121" t="s">
        <v>2682</v>
      </c>
    </row>
    <row r="1122" spans="2:8" x14ac:dyDescent="0.55000000000000004">
      <c r="B1122" s="7"/>
      <c r="D1122" t="s">
        <v>2683</v>
      </c>
      <c r="E1122">
        <v>0</v>
      </c>
      <c r="F1122" t="s">
        <v>2684</v>
      </c>
      <c r="G1122" t="s">
        <v>2685</v>
      </c>
      <c r="H1122" t="s">
        <v>2686</v>
      </c>
    </row>
    <row r="1123" spans="2:8" x14ac:dyDescent="0.55000000000000004">
      <c r="B1123" s="7"/>
      <c r="D1123" t="s">
        <v>2687</v>
      </c>
      <c r="E1123">
        <v>0</v>
      </c>
      <c r="F1123" t="s">
        <v>2688</v>
      </c>
      <c r="G1123" t="s">
        <v>2689</v>
      </c>
      <c r="H1123" t="s">
        <v>2690</v>
      </c>
    </row>
    <row r="1124" spans="2:8" x14ac:dyDescent="0.55000000000000004">
      <c r="B1124" s="7"/>
      <c r="D1124" t="s">
        <v>2711</v>
      </c>
      <c r="E1124">
        <v>0</v>
      </c>
      <c r="F1124" t="s">
        <v>2712</v>
      </c>
      <c r="G1124" t="s">
        <v>2713</v>
      </c>
      <c r="H1124" t="s">
        <v>2714</v>
      </c>
    </row>
    <row r="1125" spans="2:8" x14ac:dyDescent="0.55000000000000004">
      <c r="B1125" s="7"/>
      <c r="D1125" t="s">
        <v>2715</v>
      </c>
      <c r="E1125">
        <v>0</v>
      </c>
      <c r="F1125" t="s">
        <v>2716</v>
      </c>
      <c r="G1125" t="s">
        <v>2717</v>
      </c>
      <c r="H1125" t="s">
        <v>2718</v>
      </c>
    </row>
    <row r="1126" spans="2:8" x14ac:dyDescent="0.55000000000000004">
      <c r="B1126" s="7"/>
      <c r="D1126" t="s">
        <v>2719</v>
      </c>
      <c r="E1126">
        <v>0</v>
      </c>
      <c r="F1126" t="s">
        <v>2720</v>
      </c>
      <c r="G1126" t="s">
        <v>2721</v>
      </c>
      <c r="H1126" t="s">
        <v>2722</v>
      </c>
    </row>
    <row r="1127" spans="2:8" x14ac:dyDescent="0.55000000000000004">
      <c r="B1127" s="7"/>
      <c r="D1127" t="s">
        <v>2723</v>
      </c>
      <c r="E1127">
        <v>0</v>
      </c>
      <c r="F1127" t="s">
        <v>2724</v>
      </c>
      <c r="G1127" t="s">
        <v>2725</v>
      </c>
      <c r="H1127" t="s">
        <v>2726</v>
      </c>
    </row>
    <row r="1128" spans="2:8" x14ac:dyDescent="0.55000000000000004">
      <c r="B1128" s="7"/>
      <c r="D1128" t="s">
        <v>2731</v>
      </c>
      <c r="E1128">
        <v>0</v>
      </c>
      <c r="F1128" t="s">
        <v>1491</v>
      </c>
      <c r="G1128" t="s">
        <v>2732</v>
      </c>
      <c r="H1128" t="s">
        <v>2733</v>
      </c>
    </row>
    <row r="1129" spans="2:8" x14ac:dyDescent="0.55000000000000004">
      <c r="B1129" s="7"/>
      <c r="D1129" t="s">
        <v>2734</v>
      </c>
      <c r="E1129">
        <v>0</v>
      </c>
      <c r="F1129" t="s">
        <v>2735</v>
      </c>
      <c r="G1129" t="s">
        <v>2736</v>
      </c>
      <c r="H1129" t="s">
        <v>2737</v>
      </c>
    </row>
    <row r="1130" spans="2:8" x14ac:dyDescent="0.55000000000000004">
      <c r="B1130" s="7"/>
      <c r="D1130" t="s">
        <v>2738</v>
      </c>
      <c r="E1130">
        <v>0</v>
      </c>
      <c r="F1130" t="s">
        <v>2739</v>
      </c>
      <c r="G1130" t="s">
        <v>2740</v>
      </c>
      <c r="H1130" t="s">
        <v>2741</v>
      </c>
    </row>
    <row r="1131" spans="2:8" x14ac:dyDescent="0.55000000000000004">
      <c r="B1131" s="7"/>
      <c r="D1131" t="s">
        <v>2762</v>
      </c>
      <c r="E1131">
        <v>0</v>
      </c>
      <c r="F1131" t="s">
        <v>2763</v>
      </c>
      <c r="G1131" t="s">
        <v>2764</v>
      </c>
      <c r="H1131" t="s">
        <v>2765</v>
      </c>
    </row>
    <row r="1132" spans="2:8" x14ac:dyDescent="0.55000000000000004">
      <c r="B1132" s="7"/>
      <c r="D1132" t="s">
        <v>2806</v>
      </c>
      <c r="E1132">
        <v>0</v>
      </c>
      <c r="F1132" t="s">
        <v>2807</v>
      </c>
      <c r="G1132" t="s">
        <v>2808</v>
      </c>
      <c r="H1132" t="s">
        <v>2809</v>
      </c>
    </row>
    <row r="1133" spans="2:8" x14ac:dyDescent="0.55000000000000004">
      <c r="B1133" s="7"/>
      <c r="D1133" t="s">
        <v>2814</v>
      </c>
      <c r="E1133">
        <v>0</v>
      </c>
      <c r="F1133" t="s">
        <v>2815</v>
      </c>
      <c r="G1133" t="s">
        <v>2816</v>
      </c>
      <c r="H1133" t="s">
        <v>2817</v>
      </c>
    </row>
    <row r="1134" spans="2:8" x14ac:dyDescent="0.55000000000000004">
      <c r="B1134" s="7"/>
      <c r="D1134" t="s">
        <v>2818</v>
      </c>
      <c r="E1134">
        <v>0</v>
      </c>
      <c r="F1134" t="s">
        <v>2819</v>
      </c>
      <c r="G1134" t="s">
        <v>2820</v>
      </c>
      <c r="H1134" t="s">
        <v>2821</v>
      </c>
    </row>
    <row r="1135" spans="2:8" x14ac:dyDescent="0.55000000000000004">
      <c r="B1135" s="7"/>
      <c r="D1135" t="s">
        <v>2822</v>
      </c>
      <c r="E1135">
        <v>0</v>
      </c>
      <c r="F1135" t="s">
        <v>2823</v>
      </c>
      <c r="G1135" t="s">
        <v>2824</v>
      </c>
      <c r="H1135" t="s">
        <v>2825</v>
      </c>
    </row>
    <row r="1136" spans="2:8" x14ac:dyDescent="0.55000000000000004">
      <c r="B1136" s="7"/>
      <c r="D1136" t="s">
        <v>2830</v>
      </c>
      <c r="E1136">
        <v>0</v>
      </c>
      <c r="F1136" t="s">
        <v>2831</v>
      </c>
      <c r="G1136" t="s">
        <v>2832</v>
      </c>
      <c r="H1136" t="s">
        <v>2833</v>
      </c>
    </row>
    <row r="1137" spans="2:8" x14ac:dyDescent="0.55000000000000004">
      <c r="B1137" s="7"/>
      <c r="D1137" t="s">
        <v>2834</v>
      </c>
      <c r="E1137">
        <v>0</v>
      </c>
      <c r="F1137" t="s">
        <v>2835</v>
      </c>
      <c r="G1137" t="s">
        <v>2836</v>
      </c>
      <c r="H1137" t="s">
        <v>2837</v>
      </c>
    </row>
    <row r="1138" spans="2:8" x14ac:dyDescent="0.55000000000000004">
      <c r="B1138" s="7"/>
      <c r="D1138" t="s">
        <v>2838</v>
      </c>
      <c r="E1138">
        <v>0</v>
      </c>
      <c r="F1138" t="s">
        <v>2839</v>
      </c>
      <c r="G1138" t="s">
        <v>2840</v>
      </c>
      <c r="H1138" t="s">
        <v>2841</v>
      </c>
    </row>
    <row r="1139" spans="2:8" x14ac:dyDescent="0.55000000000000004">
      <c r="B1139" s="7"/>
      <c r="D1139" t="s">
        <v>2846</v>
      </c>
      <c r="E1139">
        <v>0</v>
      </c>
      <c r="F1139" t="s">
        <v>2847</v>
      </c>
      <c r="G1139" t="s">
        <v>2848</v>
      </c>
      <c r="H1139" t="s">
        <v>2849</v>
      </c>
    </row>
    <row r="1140" spans="2:8" x14ac:dyDescent="0.55000000000000004">
      <c r="B1140" s="7"/>
      <c r="D1140" t="s">
        <v>2850</v>
      </c>
      <c r="E1140">
        <v>0</v>
      </c>
      <c r="F1140" t="s">
        <v>2851</v>
      </c>
      <c r="G1140" t="s">
        <v>2852</v>
      </c>
      <c r="H1140" t="s">
        <v>2853</v>
      </c>
    </row>
    <row r="1141" spans="2:8" x14ac:dyDescent="0.55000000000000004">
      <c r="B1141" s="7"/>
      <c r="D1141" t="s">
        <v>2854</v>
      </c>
      <c r="E1141">
        <v>0</v>
      </c>
      <c r="F1141" t="s">
        <v>2855</v>
      </c>
      <c r="G1141" t="s">
        <v>2856</v>
      </c>
      <c r="H1141" t="s">
        <v>2857</v>
      </c>
    </row>
    <row r="1142" spans="2:8" x14ac:dyDescent="0.55000000000000004">
      <c r="B1142" s="7"/>
      <c r="D1142" t="s">
        <v>2860</v>
      </c>
      <c r="E1142">
        <v>0</v>
      </c>
      <c r="F1142" t="s">
        <v>2858</v>
      </c>
      <c r="G1142" t="s">
        <v>2861</v>
      </c>
      <c r="H1142" t="s">
        <v>2859</v>
      </c>
    </row>
    <row r="1143" spans="2:8" x14ac:dyDescent="0.55000000000000004">
      <c r="B1143" s="7"/>
      <c r="D1143" t="s">
        <v>2862</v>
      </c>
      <c r="E1143">
        <v>1</v>
      </c>
      <c r="F1143" t="s">
        <v>2863</v>
      </c>
      <c r="G1143" t="s">
        <v>2864</v>
      </c>
      <c r="H1143" t="s">
        <v>2859</v>
      </c>
    </row>
    <row r="1144" spans="2:8" x14ac:dyDescent="0.55000000000000004">
      <c r="B1144" s="7"/>
      <c r="D1144" t="s">
        <v>2865</v>
      </c>
      <c r="E1144">
        <v>2</v>
      </c>
      <c r="F1144" t="s">
        <v>2866</v>
      </c>
      <c r="G1144" t="s">
        <v>2867</v>
      </c>
      <c r="H1144" t="s">
        <v>2859</v>
      </c>
    </row>
    <row r="1145" spans="2:8" x14ac:dyDescent="0.55000000000000004">
      <c r="B1145" s="7"/>
      <c r="D1145" t="s">
        <v>2872</v>
      </c>
      <c r="E1145">
        <v>0</v>
      </c>
      <c r="F1145" t="s">
        <v>2873</v>
      </c>
      <c r="G1145" t="s">
        <v>2874</v>
      </c>
      <c r="H1145" t="s">
        <v>2875</v>
      </c>
    </row>
    <row r="1146" spans="2:8" x14ac:dyDescent="0.55000000000000004">
      <c r="B1146" s="7"/>
      <c r="D1146" t="s">
        <v>2880</v>
      </c>
      <c r="E1146">
        <v>0</v>
      </c>
      <c r="F1146" t="s">
        <v>2881</v>
      </c>
      <c r="G1146" t="s">
        <v>2882</v>
      </c>
      <c r="H1146" t="s">
        <v>2883</v>
      </c>
    </row>
    <row r="1147" spans="2:8" x14ac:dyDescent="0.55000000000000004">
      <c r="B1147" s="7"/>
      <c r="D1147" t="s">
        <v>2884</v>
      </c>
      <c r="E1147">
        <v>0</v>
      </c>
      <c r="F1147" t="s">
        <v>2885</v>
      </c>
      <c r="G1147" t="s">
        <v>2886</v>
      </c>
      <c r="H1147" t="s">
        <v>2887</v>
      </c>
    </row>
    <row r="1148" spans="2:8" x14ac:dyDescent="0.55000000000000004">
      <c r="B1148" s="7"/>
      <c r="D1148" t="s">
        <v>2888</v>
      </c>
      <c r="E1148">
        <v>0</v>
      </c>
      <c r="F1148" t="s">
        <v>2889</v>
      </c>
      <c r="G1148" t="s">
        <v>2890</v>
      </c>
      <c r="H1148" t="s">
        <v>2891</v>
      </c>
    </row>
    <row r="1149" spans="2:8" x14ac:dyDescent="0.55000000000000004">
      <c r="B1149" s="7"/>
      <c r="D1149" t="s">
        <v>2892</v>
      </c>
      <c r="E1149">
        <v>0</v>
      </c>
      <c r="F1149" t="s">
        <v>2885</v>
      </c>
      <c r="G1149" t="s">
        <v>2893</v>
      </c>
      <c r="H1149" t="s">
        <v>2894</v>
      </c>
    </row>
    <row r="1150" spans="2:8" x14ac:dyDescent="0.55000000000000004">
      <c r="B1150" s="7"/>
      <c r="D1150" t="s">
        <v>2895</v>
      </c>
      <c r="E1150">
        <v>0</v>
      </c>
      <c r="F1150" t="s">
        <v>2896</v>
      </c>
      <c r="G1150" t="s">
        <v>2897</v>
      </c>
      <c r="H1150" t="s">
        <v>2898</v>
      </c>
    </row>
    <row r="1151" spans="2:8" x14ac:dyDescent="0.55000000000000004">
      <c r="B1151" s="7"/>
      <c r="D1151" t="s">
        <v>2903</v>
      </c>
      <c r="E1151">
        <v>0</v>
      </c>
      <c r="F1151" t="s">
        <v>2904</v>
      </c>
      <c r="G1151" t="s">
        <v>2905</v>
      </c>
      <c r="H1151" t="s">
        <v>2906</v>
      </c>
    </row>
    <row r="1152" spans="2:8" x14ac:dyDescent="0.55000000000000004">
      <c r="B1152" s="7"/>
      <c r="D1152" t="s">
        <v>2907</v>
      </c>
      <c r="E1152">
        <v>0</v>
      </c>
      <c r="F1152" t="s">
        <v>2908</v>
      </c>
      <c r="G1152" t="s">
        <v>2909</v>
      </c>
      <c r="H1152" t="s">
        <v>2910</v>
      </c>
    </row>
    <row r="1153" spans="2:8" x14ac:dyDescent="0.55000000000000004">
      <c r="B1153" s="7"/>
      <c r="D1153" t="s">
        <v>2911</v>
      </c>
      <c r="E1153">
        <v>0</v>
      </c>
      <c r="F1153" t="s">
        <v>2912</v>
      </c>
      <c r="G1153" t="s">
        <v>2913</v>
      </c>
      <c r="H1153" t="s">
        <v>2914</v>
      </c>
    </row>
    <row r="1154" spans="2:8" x14ac:dyDescent="0.55000000000000004">
      <c r="B1154" s="7"/>
      <c r="D1154" t="s">
        <v>2926</v>
      </c>
      <c r="E1154">
        <v>0</v>
      </c>
      <c r="F1154" t="s">
        <v>2927</v>
      </c>
      <c r="G1154" t="s">
        <v>2928</v>
      </c>
      <c r="H1154" t="s">
        <v>2929</v>
      </c>
    </row>
    <row r="1155" spans="2:8" x14ac:dyDescent="0.55000000000000004">
      <c r="B1155" s="7"/>
      <c r="D1155" t="s">
        <v>2950</v>
      </c>
      <c r="E1155">
        <v>0</v>
      </c>
      <c r="F1155" t="s">
        <v>2951</v>
      </c>
      <c r="G1155" t="s">
        <v>2952</v>
      </c>
      <c r="H1155" t="s">
        <v>2953</v>
      </c>
    </row>
    <row r="1156" spans="2:8" x14ac:dyDescent="0.55000000000000004">
      <c r="B1156" s="7"/>
      <c r="D1156" t="s">
        <v>2962</v>
      </c>
      <c r="E1156">
        <v>0</v>
      </c>
      <c r="F1156" t="s">
        <v>2963</v>
      </c>
      <c r="G1156" t="s">
        <v>2964</v>
      </c>
      <c r="H1156" t="s">
        <v>2965</v>
      </c>
    </row>
    <row r="1157" spans="2:8" x14ac:dyDescent="0.55000000000000004">
      <c r="B1157" s="7"/>
      <c r="D1157" t="s">
        <v>2970</v>
      </c>
      <c r="E1157">
        <v>0</v>
      </c>
      <c r="F1157" t="s">
        <v>2971</v>
      </c>
      <c r="G1157" t="s">
        <v>2972</v>
      </c>
      <c r="H1157" t="s">
        <v>2973</v>
      </c>
    </row>
    <row r="1158" spans="2:8" x14ac:dyDescent="0.55000000000000004">
      <c r="B1158" s="7"/>
      <c r="D1158" t="s">
        <v>2978</v>
      </c>
      <c r="E1158">
        <v>0</v>
      </c>
      <c r="F1158" t="s">
        <v>2979</v>
      </c>
      <c r="G1158" t="s">
        <v>2980</v>
      </c>
      <c r="H1158" t="s">
        <v>2981</v>
      </c>
    </row>
    <row r="1159" spans="2:8" x14ac:dyDescent="0.55000000000000004">
      <c r="B1159" s="7"/>
      <c r="D1159" t="s">
        <v>2990</v>
      </c>
      <c r="E1159">
        <v>0</v>
      </c>
      <c r="F1159" t="s">
        <v>2991</v>
      </c>
      <c r="G1159" t="s">
        <v>2992</v>
      </c>
      <c r="H1159" t="s">
        <v>2993</v>
      </c>
    </row>
    <row r="1160" spans="2:8" x14ac:dyDescent="0.55000000000000004">
      <c r="B1160" s="7"/>
      <c r="D1160" t="s">
        <v>2994</v>
      </c>
      <c r="E1160">
        <v>0</v>
      </c>
      <c r="F1160" t="s">
        <v>2995</v>
      </c>
      <c r="G1160" t="s">
        <v>2996</v>
      </c>
      <c r="H1160" t="s">
        <v>2997</v>
      </c>
    </row>
    <row r="1161" spans="2:8" x14ac:dyDescent="0.55000000000000004">
      <c r="B1161" s="7"/>
      <c r="D1161" t="s">
        <v>3002</v>
      </c>
      <c r="E1161">
        <v>0</v>
      </c>
      <c r="F1161" t="s">
        <v>3003</v>
      </c>
      <c r="G1161" t="s">
        <v>3004</v>
      </c>
      <c r="H1161" t="s">
        <v>3005</v>
      </c>
    </row>
    <row r="1162" spans="2:8" x14ac:dyDescent="0.55000000000000004">
      <c r="B1162" s="7"/>
      <c r="D1162" t="s">
        <v>3006</v>
      </c>
      <c r="E1162">
        <v>0</v>
      </c>
      <c r="F1162" t="s">
        <v>3007</v>
      </c>
      <c r="G1162" t="s">
        <v>3008</v>
      </c>
      <c r="H1162" t="s">
        <v>3009</v>
      </c>
    </row>
    <row r="1163" spans="2:8" x14ac:dyDescent="0.55000000000000004">
      <c r="B1163" s="7"/>
      <c r="D1163" t="s">
        <v>3010</v>
      </c>
      <c r="E1163">
        <v>0</v>
      </c>
      <c r="F1163" t="s">
        <v>3011</v>
      </c>
      <c r="G1163" t="s">
        <v>3012</v>
      </c>
      <c r="H1163" t="s">
        <v>3013</v>
      </c>
    </row>
    <row r="1164" spans="2:8" x14ac:dyDescent="0.55000000000000004">
      <c r="B1164" s="7"/>
      <c r="D1164" t="s">
        <v>3014</v>
      </c>
      <c r="E1164">
        <v>0</v>
      </c>
      <c r="F1164" t="s">
        <v>3015</v>
      </c>
      <c r="G1164" t="s">
        <v>3016</v>
      </c>
      <c r="H1164" t="s">
        <v>3017</v>
      </c>
    </row>
    <row r="1165" spans="2:8" x14ac:dyDescent="0.55000000000000004">
      <c r="B1165" s="7"/>
      <c r="D1165" t="s">
        <v>3018</v>
      </c>
      <c r="E1165">
        <v>0</v>
      </c>
      <c r="F1165" t="s">
        <v>3019</v>
      </c>
      <c r="G1165" t="s">
        <v>3020</v>
      </c>
      <c r="H1165" t="s">
        <v>3021</v>
      </c>
    </row>
    <row r="1166" spans="2:8" x14ac:dyDescent="0.55000000000000004">
      <c r="B1166" s="7"/>
      <c r="D1166" t="s">
        <v>3022</v>
      </c>
      <c r="E1166">
        <v>0</v>
      </c>
      <c r="F1166" t="s">
        <v>3023</v>
      </c>
      <c r="G1166" t="s">
        <v>3024</v>
      </c>
      <c r="H1166" t="s">
        <v>3025</v>
      </c>
    </row>
    <row r="1167" spans="2:8" x14ac:dyDescent="0.55000000000000004">
      <c r="D1167" t="s">
        <v>3055</v>
      </c>
      <c r="E1167">
        <v>0</v>
      </c>
      <c r="F1167" t="s">
        <v>3056</v>
      </c>
      <c r="G1167" t="s">
        <v>3057</v>
      </c>
      <c r="H1167" t="s">
        <v>3058</v>
      </c>
    </row>
    <row r="1168" spans="2:8" x14ac:dyDescent="0.55000000000000004">
      <c r="B1168" s="7"/>
      <c r="D1168" t="s">
        <v>3063</v>
      </c>
      <c r="E1168">
        <v>0</v>
      </c>
      <c r="F1168" t="s">
        <v>3064</v>
      </c>
      <c r="G1168" t="s">
        <v>3065</v>
      </c>
      <c r="H1168" t="s">
        <v>3066</v>
      </c>
    </row>
    <row r="1169" spans="2:8" x14ac:dyDescent="0.55000000000000004">
      <c r="B1169" s="7"/>
      <c r="D1169" t="s">
        <v>3071</v>
      </c>
      <c r="E1169">
        <v>0</v>
      </c>
      <c r="F1169" t="s">
        <v>3072</v>
      </c>
      <c r="G1169" t="s">
        <v>3073</v>
      </c>
      <c r="H1169" t="s">
        <v>3074</v>
      </c>
    </row>
    <row r="1170" spans="2:8" x14ac:dyDescent="0.55000000000000004">
      <c r="B1170" s="7"/>
      <c r="D1170" t="s">
        <v>3075</v>
      </c>
      <c r="E1170">
        <v>0</v>
      </c>
      <c r="F1170" t="s">
        <v>3076</v>
      </c>
      <c r="G1170" t="s">
        <v>3077</v>
      </c>
      <c r="H1170" t="s">
        <v>3078</v>
      </c>
    </row>
    <row r="1171" spans="2:8" x14ac:dyDescent="0.55000000000000004">
      <c r="B1171" s="7"/>
      <c r="D1171" t="s">
        <v>3079</v>
      </c>
      <c r="E1171">
        <v>0</v>
      </c>
      <c r="F1171" t="s">
        <v>3080</v>
      </c>
      <c r="G1171" t="s">
        <v>3081</v>
      </c>
      <c r="H1171" t="s">
        <v>3082</v>
      </c>
    </row>
    <row r="1172" spans="2:8" x14ac:dyDescent="0.55000000000000004">
      <c r="B1172" s="7"/>
      <c r="D1172" t="s">
        <v>3083</v>
      </c>
      <c r="E1172">
        <v>0</v>
      </c>
      <c r="F1172" t="s">
        <v>3084</v>
      </c>
      <c r="G1172" t="s">
        <v>3085</v>
      </c>
      <c r="H1172" t="s">
        <v>3086</v>
      </c>
    </row>
    <row r="1173" spans="2:8" x14ac:dyDescent="0.55000000000000004">
      <c r="B1173" s="7"/>
      <c r="D1173" t="s">
        <v>3091</v>
      </c>
      <c r="E1173">
        <v>0</v>
      </c>
      <c r="F1173" t="s">
        <v>3092</v>
      </c>
      <c r="G1173" t="s">
        <v>3093</v>
      </c>
      <c r="H1173" t="s">
        <v>3094</v>
      </c>
    </row>
    <row r="1174" spans="2:8" x14ac:dyDescent="0.55000000000000004">
      <c r="B1174" s="7"/>
      <c r="D1174" t="s">
        <v>3100</v>
      </c>
      <c r="E1174">
        <v>11</v>
      </c>
      <c r="F1174" t="s">
        <v>3101</v>
      </c>
      <c r="G1174" t="s">
        <v>3102</v>
      </c>
      <c r="H1174" t="s">
        <v>3096</v>
      </c>
    </row>
    <row r="1175" spans="2:8" x14ac:dyDescent="0.55000000000000004">
      <c r="B1175" s="7"/>
      <c r="D1175" t="s">
        <v>3103</v>
      </c>
      <c r="E1175">
        <v>12</v>
      </c>
      <c r="F1175" t="s">
        <v>3104</v>
      </c>
      <c r="G1175" t="s">
        <v>3105</v>
      </c>
      <c r="H1175" t="s">
        <v>3096</v>
      </c>
    </row>
    <row r="1176" spans="2:8" x14ac:dyDescent="0.55000000000000004">
      <c r="B1176" s="7"/>
      <c r="D1176" t="s">
        <v>3106</v>
      </c>
      <c r="E1176">
        <v>16</v>
      </c>
      <c r="F1176" t="s">
        <v>3107</v>
      </c>
      <c r="G1176" t="s">
        <v>3108</v>
      </c>
      <c r="H1176" t="s">
        <v>3096</v>
      </c>
    </row>
    <row r="1177" spans="2:8" x14ac:dyDescent="0.55000000000000004">
      <c r="B1177" s="7"/>
      <c r="D1177" t="s">
        <v>3109</v>
      </c>
      <c r="E1177">
        <v>17</v>
      </c>
      <c r="F1177" t="s">
        <v>3110</v>
      </c>
      <c r="G1177" t="s">
        <v>3111</v>
      </c>
      <c r="H1177" t="s">
        <v>3096</v>
      </c>
    </row>
    <row r="1178" spans="2:8" x14ac:dyDescent="0.55000000000000004">
      <c r="B1178" s="7"/>
      <c r="D1178" t="s">
        <v>3112</v>
      </c>
      <c r="E1178">
        <v>18</v>
      </c>
      <c r="F1178" t="s">
        <v>3113</v>
      </c>
      <c r="G1178" t="s">
        <v>3114</v>
      </c>
      <c r="H1178" t="s">
        <v>3096</v>
      </c>
    </row>
    <row r="1179" spans="2:8" x14ac:dyDescent="0.55000000000000004">
      <c r="B1179" s="7"/>
      <c r="D1179" t="s">
        <v>3115</v>
      </c>
      <c r="E1179">
        <v>19</v>
      </c>
      <c r="F1179" t="s">
        <v>3116</v>
      </c>
      <c r="G1179" t="s">
        <v>3117</v>
      </c>
      <c r="H1179" t="s">
        <v>3096</v>
      </c>
    </row>
    <row r="1180" spans="2:8" x14ac:dyDescent="0.55000000000000004">
      <c r="B1180" s="7"/>
      <c r="D1180" t="s">
        <v>3118</v>
      </c>
      <c r="E1180">
        <v>20</v>
      </c>
      <c r="F1180" t="s">
        <v>3119</v>
      </c>
      <c r="G1180" t="s">
        <v>3120</v>
      </c>
      <c r="H1180" t="s">
        <v>3096</v>
      </c>
    </row>
    <row r="1181" spans="2:8" x14ac:dyDescent="0.55000000000000004">
      <c r="B1181" s="7"/>
      <c r="D1181" t="s">
        <v>3121</v>
      </c>
      <c r="E1181">
        <v>22</v>
      </c>
      <c r="F1181" t="s">
        <v>3122</v>
      </c>
      <c r="G1181" t="s">
        <v>3123</v>
      </c>
      <c r="H1181" t="s">
        <v>3096</v>
      </c>
    </row>
    <row r="1182" spans="2:8" x14ac:dyDescent="0.55000000000000004">
      <c r="B1182" s="7"/>
      <c r="D1182" t="s">
        <v>3124</v>
      </c>
      <c r="E1182">
        <v>23</v>
      </c>
      <c r="F1182" t="s">
        <v>3125</v>
      </c>
      <c r="G1182" t="s">
        <v>3126</v>
      </c>
      <c r="H1182" t="s">
        <v>3096</v>
      </c>
    </row>
    <row r="1183" spans="2:8" x14ac:dyDescent="0.55000000000000004">
      <c r="B1183" s="7"/>
      <c r="D1183" t="s">
        <v>3127</v>
      </c>
      <c r="E1183">
        <v>24</v>
      </c>
      <c r="F1183" t="s">
        <v>3128</v>
      </c>
      <c r="G1183" t="s">
        <v>3129</v>
      </c>
      <c r="H1183" t="s">
        <v>3096</v>
      </c>
    </row>
    <row r="1184" spans="2:8" x14ac:dyDescent="0.55000000000000004">
      <c r="B1184" s="7"/>
      <c r="D1184" t="s">
        <v>3130</v>
      </c>
      <c r="E1184">
        <v>25</v>
      </c>
      <c r="F1184" t="s">
        <v>3131</v>
      </c>
      <c r="G1184" t="s">
        <v>3132</v>
      </c>
      <c r="H1184" t="s">
        <v>3096</v>
      </c>
    </row>
    <row r="1185" spans="2:8" x14ac:dyDescent="0.55000000000000004">
      <c r="B1185" s="7"/>
      <c r="D1185" t="s">
        <v>3133</v>
      </c>
      <c r="E1185">
        <v>26</v>
      </c>
      <c r="F1185" t="s">
        <v>3134</v>
      </c>
      <c r="G1185" t="s">
        <v>3135</v>
      </c>
      <c r="H1185" t="s">
        <v>3096</v>
      </c>
    </row>
    <row r="1186" spans="2:8" x14ac:dyDescent="0.55000000000000004">
      <c r="B1186" s="7"/>
      <c r="D1186" t="s">
        <v>3136</v>
      </c>
      <c r="E1186">
        <v>27</v>
      </c>
      <c r="F1186" t="s">
        <v>3137</v>
      </c>
      <c r="G1186" t="s">
        <v>3138</v>
      </c>
      <c r="H1186" t="s">
        <v>3096</v>
      </c>
    </row>
    <row r="1187" spans="2:8" x14ac:dyDescent="0.55000000000000004">
      <c r="B1187" s="7"/>
      <c r="D1187" t="s">
        <v>3139</v>
      </c>
      <c r="E1187">
        <v>28</v>
      </c>
      <c r="F1187" t="s">
        <v>3140</v>
      </c>
      <c r="G1187" t="s">
        <v>3141</v>
      </c>
      <c r="H1187" t="s">
        <v>3096</v>
      </c>
    </row>
    <row r="1188" spans="2:8" x14ac:dyDescent="0.55000000000000004">
      <c r="B1188" s="7"/>
      <c r="D1188" t="s">
        <v>3142</v>
      </c>
      <c r="E1188">
        <v>29</v>
      </c>
      <c r="F1188" t="s">
        <v>3143</v>
      </c>
      <c r="G1188" t="s">
        <v>3144</v>
      </c>
      <c r="H1188" t="s">
        <v>3096</v>
      </c>
    </row>
    <row r="1189" spans="2:8" x14ac:dyDescent="0.55000000000000004">
      <c r="B1189" s="7"/>
      <c r="D1189" t="s">
        <v>3145</v>
      </c>
      <c r="E1189">
        <v>30</v>
      </c>
      <c r="F1189" t="s">
        <v>3146</v>
      </c>
      <c r="G1189" t="s">
        <v>3147</v>
      </c>
      <c r="H1189" t="s">
        <v>3096</v>
      </c>
    </row>
    <row r="1190" spans="2:8" x14ac:dyDescent="0.55000000000000004">
      <c r="B1190" s="7"/>
      <c r="D1190" t="s">
        <v>3148</v>
      </c>
      <c r="E1190">
        <v>31</v>
      </c>
      <c r="F1190" t="s">
        <v>3149</v>
      </c>
      <c r="G1190" t="s">
        <v>3150</v>
      </c>
      <c r="H1190" t="s">
        <v>3096</v>
      </c>
    </row>
    <row r="1191" spans="2:8" x14ac:dyDescent="0.55000000000000004">
      <c r="B1191" s="7"/>
      <c r="D1191" t="s">
        <v>3151</v>
      </c>
      <c r="E1191">
        <v>32</v>
      </c>
      <c r="F1191" t="s">
        <v>3152</v>
      </c>
      <c r="G1191" t="s">
        <v>3153</v>
      </c>
      <c r="H1191" t="s">
        <v>3096</v>
      </c>
    </row>
    <row r="1192" spans="2:8" x14ac:dyDescent="0.55000000000000004">
      <c r="B1192" s="7"/>
      <c r="D1192" t="s">
        <v>3154</v>
      </c>
      <c r="E1192">
        <v>33</v>
      </c>
      <c r="F1192" t="s">
        <v>3155</v>
      </c>
      <c r="G1192" t="s">
        <v>3156</v>
      </c>
      <c r="H1192" t="s">
        <v>3096</v>
      </c>
    </row>
    <row r="1193" spans="2:8" x14ac:dyDescent="0.55000000000000004">
      <c r="B1193" s="7"/>
      <c r="D1193" t="s">
        <v>3157</v>
      </c>
      <c r="E1193">
        <v>34</v>
      </c>
      <c r="F1193" t="s">
        <v>3158</v>
      </c>
      <c r="G1193" t="s">
        <v>3159</v>
      </c>
      <c r="H1193" t="s">
        <v>3096</v>
      </c>
    </row>
    <row r="1194" spans="2:8" x14ac:dyDescent="0.55000000000000004">
      <c r="B1194" s="7"/>
      <c r="D1194" t="s">
        <v>3160</v>
      </c>
      <c r="E1194">
        <v>35</v>
      </c>
      <c r="F1194" t="s">
        <v>3161</v>
      </c>
      <c r="G1194" t="s">
        <v>3162</v>
      </c>
      <c r="H1194" t="s">
        <v>3096</v>
      </c>
    </row>
    <row r="1195" spans="2:8" x14ac:dyDescent="0.55000000000000004">
      <c r="B1195" s="7"/>
      <c r="D1195" t="s">
        <v>3163</v>
      </c>
      <c r="E1195">
        <v>36</v>
      </c>
      <c r="F1195" t="s">
        <v>3164</v>
      </c>
      <c r="G1195" t="s">
        <v>3165</v>
      </c>
      <c r="H1195" t="s">
        <v>3096</v>
      </c>
    </row>
    <row r="1196" spans="2:8" x14ac:dyDescent="0.55000000000000004">
      <c r="B1196" s="7"/>
      <c r="D1196" t="s">
        <v>3166</v>
      </c>
      <c r="E1196">
        <v>37</v>
      </c>
      <c r="F1196" t="s">
        <v>3167</v>
      </c>
      <c r="G1196" t="s">
        <v>3168</v>
      </c>
      <c r="H1196" t="s">
        <v>3096</v>
      </c>
    </row>
    <row r="1197" spans="2:8" x14ac:dyDescent="0.55000000000000004">
      <c r="B1197" s="7"/>
      <c r="D1197" t="s">
        <v>3169</v>
      </c>
      <c r="E1197">
        <v>38</v>
      </c>
      <c r="F1197" t="s">
        <v>3170</v>
      </c>
      <c r="G1197" t="s">
        <v>3171</v>
      </c>
      <c r="H1197" t="s">
        <v>3096</v>
      </c>
    </row>
    <row r="1198" spans="2:8" x14ac:dyDescent="0.55000000000000004">
      <c r="B1198" s="7"/>
      <c r="D1198" t="s">
        <v>3172</v>
      </c>
      <c r="E1198">
        <v>39</v>
      </c>
      <c r="F1198" t="s">
        <v>3173</v>
      </c>
      <c r="G1198" t="s">
        <v>3174</v>
      </c>
      <c r="H1198" t="s">
        <v>3096</v>
      </c>
    </row>
    <row r="1199" spans="2:8" x14ac:dyDescent="0.55000000000000004">
      <c r="B1199" s="7"/>
      <c r="D1199" t="s">
        <v>3175</v>
      </c>
      <c r="E1199">
        <v>40</v>
      </c>
      <c r="F1199" t="s">
        <v>3176</v>
      </c>
      <c r="G1199" t="s">
        <v>3177</v>
      </c>
      <c r="H1199" t="s">
        <v>3096</v>
      </c>
    </row>
    <row r="1200" spans="2:8" x14ac:dyDescent="0.55000000000000004">
      <c r="B1200" s="7"/>
      <c r="D1200" t="s">
        <v>3178</v>
      </c>
      <c r="E1200">
        <v>41</v>
      </c>
      <c r="F1200" t="s">
        <v>3179</v>
      </c>
      <c r="G1200" t="s">
        <v>3180</v>
      </c>
      <c r="H1200" t="s">
        <v>3096</v>
      </c>
    </row>
    <row r="1201" spans="2:8" x14ac:dyDescent="0.55000000000000004">
      <c r="B1201" s="7"/>
      <c r="D1201" t="s">
        <v>3181</v>
      </c>
      <c r="E1201">
        <v>42</v>
      </c>
      <c r="F1201" t="s">
        <v>3182</v>
      </c>
      <c r="G1201" t="s">
        <v>3183</v>
      </c>
      <c r="H1201" t="s">
        <v>3096</v>
      </c>
    </row>
    <row r="1202" spans="2:8" x14ac:dyDescent="0.55000000000000004">
      <c r="B1202" s="7"/>
      <c r="D1202" t="s">
        <v>3184</v>
      </c>
      <c r="E1202">
        <v>43</v>
      </c>
      <c r="F1202" t="s">
        <v>3185</v>
      </c>
      <c r="G1202" t="s">
        <v>3186</v>
      </c>
      <c r="H1202" t="s">
        <v>3096</v>
      </c>
    </row>
    <row r="1203" spans="2:8" x14ac:dyDescent="0.55000000000000004">
      <c r="B1203" s="7"/>
      <c r="D1203" t="s">
        <v>3187</v>
      </c>
      <c r="E1203">
        <v>44</v>
      </c>
      <c r="F1203" t="s">
        <v>3188</v>
      </c>
      <c r="G1203" t="s">
        <v>3189</v>
      </c>
      <c r="H1203" t="s">
        <v>3096</v>
      </c>
    </row>
    <row r="1204" spans="2:8" x14ac:dyDescent="0.55000000000000004">
      <c r="B1204" s="7"/>
      <c r="D1204" t="s">
        <v>3190</v>
      </c>
      <c r="E1204">
        <v>45</v>
      </c>
      <c r="F1204" t="s">
        <v>3191</v>
      </c>
      <c r="G1204" t="s">
        <v>3192</v>
      </c>
      <c r="H1204" t="s">
        <v>3096</v>
      </c>
    </row>
    <row r="1205" spans="2:8" x14ac:dyDescent="0.55000000000000004">
      <c r="B1205" s="7"/>
      <c r="D1205" t="s">
        <v>3193</v>
      </c>
      <c r="E1205">
        <v>46</v>
      </c>
      <c r="F1205" t="s">
        <v>3194</v>
      </c>
      <c r="G1205" t="s">
        <v>3195</v>
      </c>
      <c r="H1205" t="s">
        <v>3096</v>
      </c>
    </row>
    <row r="1206" spans="2:8" x14ac:dyDescent="0.55000000000000004">
      <c r="B1206" s="7"/>
      <c r="D1206" t="s">
        <v>3196</v>
      </c>
      <c r="E1206">
        <v>47</v>
      </c>
      <c r="F1206" t="s">
        <v>3197</v>
      </c>
      <c r="G1206" t="s">
        <v>3198</v>
      </c>
      <c r="H1206" t="s">
        <v>3096</v>
      </c>
    </row>
    <row r="1207" spans="2:8" x14ac:dyDescent="0.55000000000000004">
      <c r="B1207" s="7"/>
      <c r="D1207" t="s">
        <v>3199</v>
      </c>
      <c r="E1207">
        <v>48</v>
      </c>
      <c r="F1207" t="s">
        <v>3200</v>
      </c>
      <c r="G1207" t="s">
        <v>3201</v>
      </c>
      <c r="H1207" t="s">
        <v>3096</v>
      </c>
    </row>
    <row r="1208" spans="2:8" x14ac:dyDescent="0.55000000000000004">
      <c r="B1208" s="7"/>
      <c r="D1208" t="s">
        <v>3202</v>
      </c>
      <c r="E1208">
        <v>900</v>
      </c>
      <c r="F1208" t="s">
        <v>3203</v>
      </c>
      <c r="G1208" t="s">
        <v>3204</v>
      </c>
      <c r="H1208" t="s">
        <v>3096</v>
      </c>
    </row>
    <row r="1209" spans="2:8" x14ac:dyDescent="0.55000000000000004">
      <c r="B1209" s="7"/>
      <c r="D1209" t="s">
        <v>3205</v>
      </c>
      <c r="E1209">
        <v>901</v>
      </c>
      <c r="F1209" t="s">
        <v>3206</v>
      </c>
      <c r="G1209" t="s">
        <v>3207</v>
      </c>
      <c r="H1209" t="s">
        <v>3096</v>
      </c>
    </row>
    <row r="1210" spans="2:8" x14ac:dyDescent="0.55000000000000004">
      <c r="B1210" s="7"/>
      <c r="D1210" t="s">
        <v>3208</v>
      </c>
      <c r="E1210">
        <v>902</v>
      </c>
      <c r="F1210" t="s">
        <v>3209</v>
      </c>
      <c r="G1210" t="s">
        <v>3210</v>
      </c>
      <c r="H1210" t="s">
        <v>3096</v>
      </c>
    </row>
    <row r="1211" spans="2:8" x14ac:dyDescent="0.55000000000000004">
      <c r="B1211" s="7"/>
      <c r="D1211" t="s">
        <v>3211</v>
      </c>
      <c r="E1211">
        <v>903</v>
      </c>
      <c r="F1211" t="s">
        <v>3212</v>
      </c>
      <c r="G1211" t="s">
        <v>3213</v>
      </c>
      <c r="H1211" t="s">
        <v>3096</v>
      </c>
    </row>
    <row r="1212" spans="2:8" x14ac:dyDescent="0.55000000000000004">
      <c r="B1212" s="7"/>
      <c r="D1212" t="s">
        <v>3214</v>
      </c>
      <c r="E1212">
        <v>904</v>
      </c>
      <c r="F1212" t="s">
        <v>3215</v>
      </c>
      <c r="G1212" t="s">
        <v>3216</v>
      </c>
      <c r="H1212" t="s">
        <v>3096</v>
      </c>
    </row>
    <row r="1213" spans="2:8" x14ac:dyDescent="0.55000000000000004">
      <c r="B1213" s="7"/>
      <c r="D1213" t="s">
        <v>3217</v>
      </c>
      <c r="E1213">
        <v>999</v>
      </c>
      <c r="F1213" t="s">
        <v>135</v>
      </c>
      <c r="G1213" t="s">
        <v>3218</v>
      </c>
      <c r="H1213" t="s">
        <v>3096</v>
      </c>
    </row>
    <row r="1214" spans="2:8" x14ac:dyDescent="0.55000000000000004">
      <c r="B1214" s="7"/>
      <c r="D1214" t="s">
        <v>3219</v>
      </c>
      <c r="E1214">
        <v>0</v>
      </c>
      <c r="F1214" t="s">
        <v>3220</v>
      </c>
      <c r="G1214" t="s">
        <v>3221</v>
      </c>
      <c r="H1214" t="s">
        <v>3222</v>
      </c>
    </row>
    <row r="1215" spans="2:8" x14ac:dyDescent="0.55000000000000004">
      <c r="B1215" s="7"/>
      <c r="D1215" t="s">
        <v>3236</v>
      </c>
      <c r="E1215">
        <v>0</v>
      </c>
      <c r="F1215" t="s">
        <v>3237</v>
      </c>
      <c r="G1215" t="s">
        <v>3238</v>
      </c>
      <c r="H1215" t="s">
        <v>3235</v>
      </c>
    </row>
    <row r="1216" spans="2:8" x14ac:dyDescent="0.55000000000000004">
      <c r="B1216" s="7"/>
      <c r="D1216" t="s">
        <v>3239</v>
      </c>
      <c r="E1216">
        <v>9</v>
      </c>
      <c r="F1216" t="s">
        <v>3240</v>
      </c>
      <c r="G1216" t="s">
        <v>3241</v>
      </c>
      <c r="H1216" t="s">
        <v>3235</v>
      </c>
    </row>
    <row r="1217" spans="2:8" x14ac:dyDescent="0.55000000000000004">
      <c r="B1217" s="7"/>
      <c r="D1217" t="s">
        <v>3242</v>
      </c>
      <c r="E1217">
        <v>11</v>
      </c>
      <c r="F1217" t="s">
        <v>3101</v>
      </c>
      <c r="G1217" t="s">
        <v>3243</v>
      </c>
      <c r="H1217" t="s">
        <v>3235</v>
      </c>
    </row>
    <row r="1218" spans="2:8" x14ac:dyDescent="0.55000000000000004">
      <c r="B1218" s="7"/>
      <c r="D1218" t="s">
        <v>3244</v>
      </c>
      <c r="E1218">
        <v>12</v>
      </c>
      <c r="F1218" t="s">
        <v>3104</v>
      </c>
      <c r="G1218" t="s">
        <v>3245</v>
      </c>
      <c r="H1218" t="s">
        <v>3235</v>
      </c>
    </row>
    <row r="1219" spans="2:8" x14ac:dyDescent="0.55000000000000004">
      <c r="B1219" s="7"/>
      <c r="D1219" t="s">
        <v>3246</v>
      </c>
      <c r="E1219">
        <v>16</v>
      </c>
      <c r="F1219" t="s">
        <v>3107</v>
      </c>
      <c r="G1219" t="s">
        <v>3247</v>
      </c>
      <c r="H1219" t="s">
        <v>3235</v>
      </c>
    </row>
    <row r="1220" spans="2:8" x14ac:dyDescent="0.55000000000000004">
      <c r="B1220" s="7"/>
      <c r="D1220" t="s">
        <v>3248</v>
      </c>
      <c r="E1220">
        <v>17</v>
      </c>
      <c r="F1220" t="s">
        <v>3110</v>
      </c>
      <c r="G1220" t="s">
        <v>3249</v>
      </c>
      <c r="H1220" t="s">
        <v>3235</v>
      </c>
    </row>
    <row r="1221" spans="2:8" x14ac:dyDescent="0.55000000000000004">
      <c r="B1221" s="7"/>
      <c r="D1221" t="s">
        <v>3250</v>
      </c>
      <c r="E1221">
        <v>18</v>
      </c>
      <c r="F1221" t="s">
        <v>3113</v>
      </c>
      <c r="G1221" t="s">
        <v>3251</v>
      </c>
      <c r="H1221" t="s">
        <v>3235</v>
      </c>
    </row>
    <row r="1222" spans="2:8" x14ac:dyDescent="0.55000000000000004">
      <c r="B1222" s="7"/>
      <c r="D1222" t="s">
        <v>3252</v>
      </c>
      <c r="E1222">
        <v>19</v>
      </c>
      <c r="F1222" t="s">
        <v>3116</v>
      </c>
      <c r="G1222" t="s">
        <v>3253</v>
      </c>
      <c r="H1222" t="s">
        <v>3235</v>
      </c>
    </row>
    <row r="1223" spans="2:8" x14ac:dyDescent="0.55000000000000004">
      <c r="B1223" s="7"/>
      <c r="D1223" t="s">
        <v>3254</v>
      </c>
      <c r="E1223">
        <v>20</v>
      </c>
      <c r="F1223" t="s">
        <v>3119</v>
      </c>
      <c r="G1223" t="s">
        <v>3255</v>
      </c>
      <c r="H1223" t="s">
        <v>3235</v>
      </c>
    </row>
    <row r="1224" spans="2:8" x14ac:dyDescent="0.55000000000000004">
      <c r="B1224" s="7"/>
      <c r="D1224" t="s">
        <v>3256</v>
      </c>
      <c r="E1224">
        <v>22</v>
      </c>
      <c r="F1224" t="s">
        <v>3122</v>
      </c>
      <c r="G1224" t="s">
        <v>3257</v>
      </c>
      <c r="H1224" t="s">
        <v>3235</v>
      </c>
    </row>
    <row r="1225" spans="2:8" x14ac:dyDescent="0.55000000000000004">
      <c r="B1225" s="7"/>
      <c r="D1225" t="s">
        <v>3258</v>
      </c>
      <c r="E1225">
        <v>23</v>
      </c>
      <c r="F1225" t="s">
        <v>3125</v>
      </c>
      <c r="G1225" t="s">
        <v>3259</v>
      </c>
      <c r="H1225" t="s">
        <v>3235</v>
      </c>
    </row>
    <row r="1226" spans="2:8" x14ac:dyDescent="0.55000000000000004">
      <c r="B1226" s="7"/>
      <c r="D1226" t="s">
        <v>3260</v>
      </c>
      <c r="E1226">
        <v>24</v>
      </c>
      <c r="F1226" t="s">
        <v>3128</v>
      </c>
      <c r="G1226" t="s">
        <v>3261</v>
      </c>
      <c r="H1226" t="s">
        <v>3235</v>
      </c>
    </row>
    <row r="1227" spans="2:8" x14ac:dyDescent="0.55000000000000004">
      <c r="B1227" s="7"/>
      <c r="D1227" t="s">
        <v>3262</v>
      </c>
      <c r="E1227">
        <v>25</v>
      </c>
      <c r="F1227" t="s">
        <v>3131</v>
      </c>
      <c r="G1227" t="s">
        <v>3263</v>
      </c>
      <c r="H1227" t="s">
        <v>3235</v>
      </c>
    </row>
    <row r="1228" spans="2:8" x14ac:dyDescent="0.55000000000000004">
      <c r="B1228" s="7"/>
      <c r="D1228" t="s">
        <v>3264</v>
      </c>
      <c r="E1228">
        <v>26</v>
      </c>
      <c r="F1228" t="s">
        <v>3134</v>
      </c>
      <c r="G1228" t="s">
        <v>3265</v>
      </c>
      <c r="H1228" t="s">
        <v>3235</v>
      </c>
    </row>
    <row r="1229" spans="2:8" x14ac:dyDescent="0.55000000000000004">
      <c r="B1229" s="7"/>
      <c r="D1229" t="s">
        <v>3266</v>
      </c>
      <c r="E1229">
        <v>27</v>
      </c>
      <c r="F1229" t="s">
        <v>3137</v>
      </c>
      <c r="G1229" t="s">
        <v>3267</v>
      </c>
      <c r="H1229" t="s">
        <v>3235</v>
      </c>
    </row>
    <row r="1230" spans="2:8" x14ac:dyDescent="0.55000000000000004">
      <c r="B1230" s="7"/>
      <c r="D1230" t="s">
        <v>3268</v>
      </c>
      <c r="E1230">
        <v>28</v>
      </c>
      <c r="F1230" t="s">
        <v>3140</v>
      </c>
      <c r="G1230" t="s">
        <v>3269</v>
      </c>
      <c r="H1230" t="s">
        <v>3235</v>
      </c>
    </row>
    <row r="1231" spans="2:8" x14ac:dyDescent="0.55000000000000004">
      <c r="B1231" s="7"/>
      <c r="D1231" t="s">
        <v>3270</v>
      </c>
      <c r="E1231">
        <v>29</v>
      </c>
      <c r="F1231" t="s">
        <v>3143</v>
      </c>
      <c r="G1231" t="s">
        <v>3271</v>
      </c>
      <c r="H1231" t="s">
        <v>3235</v>
      </c>
    </row>
    <row r="1232" spans="2:8" x14ac:dyDescent="0.55000000000000004">
      <c r="B1232" s="7"/>
      <c r="D1232" t="s">
        <v>3272</v>
      </c>
      <c r="E1232">
        <v>30</v>
      </c>
      <c r="F1232" t="s">
        <v>3146</v>
      </c>
      <c r="G1232" t="s">
        <v>3273</v>
      </c>
      <c r="H1232" t="s">
        <v>3235</v>
      </c>
    </row>
    <row r="1233" spans="2:8" x14ac:dyDescent="0.55000000000000004">
      <c r="B1233" s="7"/>
      <c r="D1233" t="s">
        <v>3274</v>
      </c>
      <c r="E1233">
        <v>31</v>
      </c>
      <c r="F1233" t="s">
        <v>3149</v>
      </c>
      <c r="G1233" t="s">
        <v>3275</v>
      </c>
      <c r="H1233" t="s">
        <v>3235</v>
      </c>
    </row>
    <row r="1234" spans="2:8" x14ac:dyDescent="0.55000000000000004">
      <c r="B1234" s="7"/>
      <c r="D1234" t="s">
        <v>3276</v>
      </c>
      <c r="E1234">
        <v>32</v>
      </c>
      <c r="F1234" t="s">
        <v>3152</v>
      </c>
      <c r="G1234" t="s">
        <v>3277</v>
      </c>
      <c r="H1234" t="s">
        <v>3235</v>
      </c>
    </row>
    <row r="1235" spans="2:8" x14ac:dyDescent="0.55000000000000004">
      <c r="B1235" s="7"/>
      <c r="D1235" t="s">
        <v>3278</v>
      </c>
      <c r="E1235">
        <v>33</v>
      </c>
      <c r="F1235" t="s">
        <v>3155</v>
      </c>
      <c r="G1235" t="s">
        <v>3279</v>
      </c>
      <c r="H1235" t="s">
        <v>3235</v>
      </c>
    </row>
    <row r="1236" spans="2:8" x14ac:dyDescent="0.55000000000000004">
      <c r="B1236" s="7"/>
      <c r="D1236" t="s">
        <v>3280</v>
      </c>
      <c r="E1236">
        <v>34</v>
      </c>
      <c r="F1236" t="s">
        <v>3158</v>
      </c>
      <c r="G1236" t="s">
        <v>3281</v>
      </c>
      <c r="H1236" t="s">
        <v>3235</v>
      </c>
    </row>
    <row r="1237" spans="2:8" x14ac:dyDescent="0.55000000000000004">
      <c r="B1237" s="7"/>
      <c r="D1237" t="s">
        <v>3282</v>
      </c>
      <c r="E1237">
        <v>35</v>
      </c>
      <c r="F1237" t="s">
        <v>3161</v>
      </c>
      <c r="G1237" t="s">
        <v>3283</v>
      </c>
      <c r="H1237" t="s">
        <v>3235</v>
      </c>
    </row>
    <row r="1238" spans="2:8" x14ac:dyDescent="0.55000000000000004">
      <c r="B1238" s="7"/>
      <c r="D1238" t="s">
        <v>3284</v>
      </c>
      <c r="E1238">
        <v>36</v>
      </c>
      <c r="F1238" t="s">
        <v>3164</v>
      </c>
      <c r="G1238" t="s">
        <v>3285</v>
      </c>
      <c r="H1238" t="s">
        <v>3235</v>
      </c>
    </row>
    <row r="1239" spans="2:8" x14ac:dyDescent="0.55000000000000004">
      <c r="B1239" s="7"/>
      <c r="D1239" t="s">
        <v>3286</v>
      </c>
      <c r="E1239">
        <v>37</v>
      </c>
      <c r="F1239" t="s">
        <v>3167</v>
      </c>
      <c r="G1239" t="s">
        <v>3287</v>
      </c>
      <c r="H1239" t="s">
        <v>3235</v>
      </c>
    </row>
    <row r="1240" spans="2:8" x14ac:dyDescent="0.55000000000000004">
      <c r="B1240" s="7"/>
      <c r="D1240" t="s">
        <v>3288</v>
      </c>
      <c r="E1240">
        <v>38</v>
      </c>
      <c r="F1240" t="s">
        <v>3170</v>
      </c>
      <c r="G1240" t="s">
        <v>3289</v>
      </c>
      <c r="H1240" t="s">
        <v>3235</v>
      </c>
    </row>
    <row r="1241" spans="2:8" x14ac:dyDescent="0.55000000000000004">
      <c r="B1241" s="7"/>
      <c r="D1241" t="s">
        <v>3290</v>
      </c>
      <c r="E1241">
        <v>39</v>
      </c>
      <c r="F1241" t="s">
        <v>3173</v>
      </c>
      <c r="G1241" t="s">
        <v>3291</v>
      </c>
      <c r="H1241" t="s">
        <v>3235</v>
      </c>
    </row>
    <row r="1242" spans="2:8" x14ac:dyDescent="0.55000000000000004">
      <c r="B1242" s="7"/>
      <c r="D1242" t="s">
        <v>3292</v>
      </c>
      <c r="E1242">
        <v>40</v>
      </c>
      <c r="F1242" t="s">
        <v>3176</v>
      </c>
      <c r="G1242" t="s">
        <v>3293</v>
      </c>
      <c r="H1242" t="s">
        <v>3235</v>
      </c>
    </row>
    <row r="1243" spans="2:8" x14ac:dyDescent="0.55000000000000004">
      <c r="B1243" s="7"/>
      <c r="D1243" t="s">
        <v>3294</v>
      </c>
      <c r="E1243">
        <v>41</v>
      </c>
      <c r="F1243" t="s">
        <v>3179</v>
      </c>
      <c r="G1243" t="s">
        <v>3295</v>
      </c>
      <c r="H1243" t="s">
        <v>3235</v>
      </c>
    </row>
    <row r="1244" spans="2:8" x14ac:dyDescent="0.55000000000000004">
      <c r="B1244" s="7"/>
      <c r="D1244" t="s">
        <v>3296</v>
      </c>
      <c r="E1244">
        <v>42</v>
      </c>
      <c r="F1244" t="s">
        <v>3182</v>
      </c>
      <c r="G1244" t="s">
        <v>3297</v>
      </c>
      <c r="H1244" t="s">
        <v>3235</v>
      </c>
    </row>
    <row r="1245" spans="2:8" x14ac:dyDescent="0.55000000000000004">
      <c r="B1245" s="7"/>
      <c r="D1245" t="s">
        <v>3298</v>
      </c>
      <c r="E1245">
        <v>43</v>
      </c>
      <c r="F1245" t="s">
        <v>3185</v>
      </c>
      <c r="G1245" t="s">
        <v>3299</v>
      </c>
      <c r="H1245" t="s">
        <v>3235</v>
      </c>
    </row>
    <row r="1246" spans="2:8" x14ac:dyDescent="0.55000000000000004">
      <c r="B1246" s="7"/>
      <c r="D1246" t="s">
        <v>3300</v>
      </c>
      <c r="E1246">
        <v>44</v>
      </c>
      <c r="F1246" t="s">
        <v>3188</v>
      </c>
      <c r="G1246" t="s">
        <v>3301</v>
      </c>
      <c r="H1246" t="s">
        <v>3235</v>
      </c>
    </row>
    <row r="1247" spans="2:8" x14ac:dyDescent="0.55000000000000004">
      <c r="B1247" s="7"/>
      <c r="D1247" t="s">
        <v>3302</v>
      </c>
      <c r="E1247">
        <v>45</v>
      </c>
      <c r="F1247" t="s">
        <v>3191</v>
      </c>
      <c r="G1247" t="s">
        <v>3303</v>
      </c>
      <c r="H1247" t="s">
        <v>3235</v>
      </c>
    </row>
    <row r="1248" spans="2:8" x14ac:dyDescent="0.55000000000000004">
      <c r="B1248" s="7"/>
      <c r="D1248" t="s">
        <v>3304</v>
      </c>
      <c r="E1248">
        <v>46</v>
      </c>
      <c r="F1248" t="s">
        <v>3194</v>
      </c>
      <c r="G1248" t="s">
        <v>3305</v>
      </c>
      <c r="H1248" t="s">
        <v>3235</v>
      </c>
    </row>
    <row r="1249" spans="2:8" x14ac:dyDescent="0.55000000000000004">
      <c r="B1249" s="7"/>
      <c r="D1249" t="s">
        <v>3306</v>
      </c>
      <c r="E1249">
        <v>47</v>
      </c>
      <c r="F1249" t="s">
        <v>3197</v>
      </c>
      <c r="G1249" t="s">
        <v>3307</v>
      </c>
      <c r="H1249" t="s">
        <v>3235</v>
      </c>
    </row>
    <row r="1250" spans="2:8" x14ac:dyDescent="0.55000000000000004">
      <c r="B1250" s="7"/>
      <c r="D1250" t="s">
        <v>3308</v>
      </c>
      <c r="E1250">
        <v>48</v>
      </c>
      <c r="F1250" t="s">
        <v>3200</v>
      </c>
      <c r="G1250" t="s">
        <v>3309</v>
      </c>
      <c r="H1250" t="s">
        <v>3235</v>
      </c>
    </row>
    <row r="1251" spans="2:8" x14ac:dyDescent="0.55000000000000004">
      <c r="B1251" s="7"/>
      <c r="D1251" t="s">
        <v>3310</v>
      </c>
      <c r="E1251">
        <v>49</v>
      </c>
      <c r="F1251" t="s">
        <v>3311</v>
      </c>
      <c r="G1251" t="s">
        <v>3312</v>
      </c>
      <c r="H1251" t="s">
        <v>3235</v>
      </c>
    </row>
    <row r="1252" spans="2:8" x14ac:dyDescent="0.55000000000000004">
      <c r="B1252" s="7"/>
      <c r="D1252" t="s">
        <v>3313</v>
      </c>
      <c r="E1252">
        <v>50</v>
      </c>
      <c r="F1252" t="s">
        <v>3314</v>
      </c>
      <c r="G1252" t="s">
        <v>3315</v>
      </c>
      <c r="H1252" t="s">
        <v>3235</v>
      </c>
    </row>
    <row r="1253" spans="2:8" x14ac:dyDescent="0.55000000000000004">
      <c r="B1253" s="7"/>
      <c r="D1253" t="s">
        <v>3316</v>
      </c>
      <c r="E1253">
        <v>900</v>
      </c>
      <c r="F1253" t="s">
        <v>3203</v>
      </c>
      <c r="G1253" t="s">
        <v>3317</v>
      </c>
      <c r="H1253" t="s">
        <v>3235</v>
      </c>
    </row>
    <row r="1254" spans="2:8" x14ac:dyDescent="0.55000000000000004">
      <c r="B1254" s="7"/>
      <c r="D1254" t="s">
        <v>3318</v>
      </c>
      <c r="E1254">
        <v>901</v>
      </c>
      <c r="F1254" t="s">
        <v>3206</v>
      </c>
      <c r="G1254" t="s">
        <v>3319</v>
      </c>
      <c r="H1254" t="s">
        <v>3235</v>
      </c>
    </row>
    <row r="1255" spans="2:8" x14ac:dyDescent="0.55000000000000004">
      <c r="B1255" s="7"/>
      <c r="D1255" t="s">
        <v>3320</v>
      </c>
      <c r="E1255">
        <v>902</v>
      </c>
      <c r="F1255" t="s">
        <v>3209</v>
      </c>
      <c r="G1255" t="s">
        <v>3321</v>
      </c>
      <c r="H1255" t="s">
        <v>3235</v>
      </c>
    </row>
    <row r="1256" spans="2:8" x14ac:dyDescent="0.55000000000000004">
      <c r="B1256" s="7"/>
      <c r="D1256" t="s">
        <v>3322</v>
      </c>
      <c r="E1256">
        <v>903</v>
      </c>
      <c r="F1256" t="s">
        <v>3212</v>
      </c>
      <c r="G1256" t="s">
        <v>3323</v>
      </c>
      <c r="H1256" t="s">
        <v>3235</v>
      </c>
    </row>
    <row r="1257" spans="2:8" x14ac:dyDescent="0.55000000000000004">
      <c r="B1257" s="7"/>
      <c r="D1257" t="s">
        <v>3324</v>
      </c>
      <c r="E1257">
        <v>904</v>
      </c>
      <c r="F1257" t="s">
        <v>3215</v>
      </c>
      <c r="G1257" t="s">
        <v>3325</v>
      </c>
      <c r="H1257" t="s">
        <v>3235</v>
      </c>
    </row>
    <row r="1258" spans="2:8" x14ac:dyDescent="0.55000000000000004">
      <c r="B1258" s="7"/>
      <c r="D1258" t="s">
        <v>3326</v>
      </c>
      <c r="E1258">
        <v>999</v>
      </c>
      <c r="F1258" t="s">
        <v>135</v>
      </c>
      <c r="G1258" t="s">
        <v>3327</v>
      </c>
      <c r="H1258" t="s">
        <v>3235</v>
      </c>
    </row>
    <row r="1259" spans="2:8" x14ac:dyDescent="0.55000000000000004">
      <c r="B1259" s="7"/>
      <c r="D1259" t="s">
        <v>3339</v>
      </c>
      <c r="E1259">
        <v>0</v>
      </c>
      <c r="F1259" t="s">
        <v>3340</v>
      </c>
      <c r="G1259" t="s">
        <v>3341</v>
      </c>
      <c r="H1259" t="s">
        <v>3342</v>
      </c>
    </row>
    <row r="1260" spans="2:8" x14ac:dyDescent="0.55000000000000004">
      <c r="B1260" s="7"/>
      <c r="D1260" t="s">
        <v>3352</v>
      </c>
      <c r="E1260">
        <v>0</v>
      </c>
      <c r="F1260" t="s">
        <v>3353</v>
      </c>
      <c r="G1260" t="s">
        <v>3354</v>
      </c>
      <c r="H1260" t="s">
        <v>3355</v>
      </c>
    </row>
    <row r="1261" spans="2:8" x14ac:dyDescent="0.55000000000000004">
      <c r="B1261" s="7"/>
      <c r="D1261" t="s">
        <v>3356</v>
      </c>
      <c r="E1261">
        <v>0</v>
      </c>
      <c r="F1261" t="s">
        <v>3357</v>
      </c>
      <c r="G1261" t="s">
        <v>3358</v>
      </c>
      <c r="H1261" t="s">
        <v>3359</v>
      </c>
    </row>
    <row r="1262" spans="2:8" x14ac:dyDescent="0.55000000000000004">
      <c r="B1262" s="7"/>
      <c r="D1262" t="s">
        <v>3361</v>
      </c>
      <c r="E1262">
        <v>0</v>
      </c>
      <c r="F1262" t="s">
        <v>3362</v>
      </c>
      <c r="G1262" t="s">
        <v>3363</v>
      </c>
      <c r="H1262" t="s">
        <v>3360</v>
      </c>
    </row>
    <row r="1263" spans="2:8" x14ac:dyDescent="0.55000000000000004">
      <c r="B1263" s="7"/>
      <c r="D1263" t="s">
        <v>3364</v>
      </c>
      <c r="E1263">
        <v>6</v>
      </c>
      <c r="F1263" t="s">
        <v>3365</v>
      </c>
      <c r="G1263" t="s">
        <v>3366</v>
      </c>
      <c r="H1263" t="s">
        <v>3360</v>
      </c>
    </row>
    <row r="1264" spans="2:8" x14ac:dyDescent="0.55000000000000004">
      <c r="B1264" s="7"/>
      <c r="D1264" t="s">
        <v>3367</v>
      </c>
      <c r="E1264">
        <v>7</v>
      </c>
      <c r="F1264" t="s">
        <v>3368</v>
      </c>
      <c r="G1264" t="s">
        <v>3369</v>
      </c>
      <c r="H1264" t="s">
        <v>3360</v>
      </c>
    </row>
    <row r="1265" spans="2:8" x14ac:dyDescent="0.55000000000000004">
      <c r="B1265" s="7"/>
      <c r="D1265" t="s">
        <v>3370</v>
      </c>
      <c r="E1265">
        <v>51</v>
      </c>
      <c r="F1265" t="s">
        <v>3371</v>
      </c>
      <c r="G1265" t="s">
        <v>3372</v>
      </c>
      <c r="H1265" t="s">
        <v>3360</v>
      </c>
    </row>
    <row r="1266" spans="2:8" x14ac:dyDescent="0.55000000000000004">
      <c r="B1266" s="7"/>
      <c r="D1266" t="s">
        <v>3373</v>
      </c>
      <c r="E1266">
        <v>58</v>
      </c>
      <c r="F1266" t="s">
        <v>3374</v>
      </c>
      <c r="G1266" t="s">
        <v>3375</v>
      </c>
      <c r="H1266" t="s">
        <v>3360</v>
      </c>
    </row>
    <row r="1267" spans="2:8" x14ac:dyDescent="0.55000000000000004">
      <c r="B1267" s="7"/>
      <c r="D1267" t="s">
        <v>3376</v>
      </c>
      <c r="E1267">
        <v>59</v>
      </c>
      <c r="F1267" t="s">
        <v>3377</v>
      </c>
      <c r="G1267" t="s">
        <v>3378</v>
      </c>
      <c r="H1267" t="s">
        <v>3360</v>
      </c>
    </row>
    <row r="1268" spans="2:8" x14ac:dyDescent="0.55000000000000004">
      <c r="B1268" s="7"/>
      <c r="D1268" t="s">
        <v>3379</v>
      </c>
      <c r="E1268">
        <v>60</v>
      </c>
      <c r="F1268" t="s">
        <v>3380</v>
      </c>
      <c r="G1268" t="s">
        <v>3381</v>
      </c>
      <c r="H1268" t="s">
        <v>3360</v>
      </c>
    </row>
    <row r="1269" spans="2:8" x14ac:dyDescent="0.55000000000000004">
      <c r="B1269" s="7"/>
      <c r="D1269" t="s">
        <v>3382</v>
      </c>
      <c r="E1269">
        <v>61</v>
      </c>
      <c r="F1269" t="s">
        <v>3383</v>
      </c>
      <c r="G1269" t="s">
        <v>3384</v>
      </c>
      <c r="H1269" t="s">
        <v>3360</v>
      </c>
    </row>
    <row r="1270" spans="2:8" x14ac:dyDescent="0.55000000000000004">
      <c r="B1270" s="7"/>
      <c r="D1270" t="s">
        <v>3385</v>
      </c>
      <c r="E1270">
        <v>62</v>
      </c>
      <c r="F1270" t="s">
        <v>3386</v>
      </c>
      <c r="G1270" t="s">
        <v>3387</v>
      </c>
      <c r="H1270" t="s">
        <v>3360</v>
      </c>
    </row>
    <row r="1271" spans="2:8" x14ac:dyDescent="0.55000000000000004">
      <c r="B1271" s="7"/>
      <c r="D1271" t="s">
        <v>3388</v>
      </c>
      <c r="E1271">
        <v>63</v>
      </c>
      <c r="F1271" t="s">
        <v>3389</v>
      </c>
      <c r="G1271" t="s">
        <v>3390</v>
      </c>
      <c r="H1271" t="s">
        <v>3360</v>
      </c>
    </row>
    <row r="1272" spans="2:8" x14ac:dyDescent="0.55000000000000004">
      <c r="B1272" s="7"/>
      <c r="D1272" t="s">
        <v>3391</v>
      </c>
      <c r="E1272">
        <v>999</v>
      </c>
      <c r="F1272" t="s">
        <v>135</v>
      </c>
      <c r="G1272" t="s">
        <v>3392</v>
      </c>
      <c r="H1272" t="s">
        <v>3360</v>
      </c>
    </row>
    <row r="1273" spans="2:8" x14ac:dyDescent="0.55000000000000004">
      <c r="B1273" s="7"/>
      <c r="D1273" t="s">
        <v>3397</v>
      </c>
      <c r="E1273">
        <v>0</v>
      </c>
      <c r="F1273" t="s">
        <v>3398</v>
      </c>
      <c r="G1273" t="s">
        <v>3399</v>
      </c>
      <c r="H1273" t="s">
        <v>3400</v>
      </c>
    </row>
    <row r="1274" spans="2:8" x14ac:dyDescent="0.55000000000000004">
      <c r="B1274" s="7"/>
      <c r="D1274" t="s">
        <v>3405</v>
      </c>
      <c r="E1274">
        <v>0</v>
      </c>
      <c r="F1274" t="s">
        <v>3406</v>
      </c>
      <c r="G1274" t="s">
        <v>3407</v>
      </c>
      <c r="H1274" t="s">
        <v>3408</v>
      </c>
    </row>
    <row r="1275" spans="2:8" x14ac:dyDescent="0.55000000000000004">
      <c r="B1275" s="7"/>
      <c r="D1275" t="s">
        <v>3409</v>
      </c>
      <c r="E1275">
        <v>0</v>
      </c>
      <c r="F1275" t="s">
        <v>3410</v>
      </c>
      <c r="G1275" t="s">
        <v>3411</v>
      </c>
      <c r="H1275" t="s">
        <v>3412</v>
      </c>
    </row>
    <row r="1276" spans="2:8" x14ac:dyDescent="0.55000000000000004">
      <c r="B1276" s="7"/>
      <c r="D1276" t="s">
        <v>3413</v>
      </c>
      <c r="E1276">
        <v>0</v>
      </c>
      <c r="F1276" t="s">
        <v>3414</v>
      </c>
      <c r="G1276" t="s">
        <v>3415</v>
      </c>
      <c r="H1276" t="s">
        <v>3416</v>
      </c>
    </row>
    <row r="1277" spans="2:8" x14ac:dyDescent="0.55000000000000004">
      <c r="B1277" s="7"/>
      <c r="D1277" t="s">
        <v>3421</v>
      </c>
      <c r="E1277">
        <v>0</v>
      </c>
      <c r="F1277" t="s">
        <v>3422</v>
      </c>
      <c r="G1277" t="s">
        <v>3423</v>
      </c>
      <c r="H1277" t="s">
        <v>3424</v>
      </c>
    </row>
    <row r="1278" spans="2:8" x14ac:dyDescent="0.55000000000000004">
      <c r="B1278" s="7"/>
      <c r="D1278" t="s">
        <v>3433</v>
      </c>
      <c r="E1278">
        <v>0</v>
      </c>
      <c r="F1278" t="s">
        <v>3434</v>
      </c>
      <c r="G1278" t="s">
        <v>3435</v>
      </c>
      <c r="H1278" t="s">
        <v>3436</v>
      </c>
    </row>
    <row r="1279" spans="2:8" x14ac:dyDescent="0.55000000000000004">
      <c r="B1279" s="7"/>
      <c r="D1279" t="s">
        <v>3437</v>
      </c>
      <c r="E1279">
        <v>0</v>
      </c>
      <c r="F1279" t="s">
        <v>3438</v>
      </c>
      <c r="G1279" t="s">
        <v>3439</v>
      </c>
      <c r="H1279" t="s">
        <v>3440</v>
      </c>
    </row>
    <row r="1280" spans="2:8" x14ac:dyDescent="0.55000000000000004">
      <c r="B1280" s="7"/>
      <c r="D1280" t="s">
        <v>3441</v>
      </c>
      <c r="E1280">
        <v>0</v>
      </c>
      <c r="F1280" t="s">
        <v>3442</v>
      </c>
      <c r="G1280" t="s">
        <v>3443</v>
      </c>
      <c r="H1280" t="s">
        <v>3444</v>
      </c>
    </row>
    <row r="1281" spans="2:8" x14ac:dyDescent="0.55000000000000004">
      <c r="B1281" s="7"/>
      <c r="D1281" t="s">
        <v>3452</v>
      </c>
      <c r="E1281">
        <v>0</v>
      </c>
      <c r="F1281" t="s">
        <v>3453</v>
      </c>
      <c r="G1281" t="s">
        <v>3454</v>
      </c>
      <c r="H1281" t="s">
        <v>3455</v>
      </c>
    </row>
    <row r="1282" spans="2:8" x14ac:dyDescent="0.55000000000000004">
      <c r="B1282" s="7"/>
      <c r="D1282" t="s">
        <v>3456</v>
      </c>
      <c r="E1282">
        <v>0</v>
      </c>
      <c r="F1282" t="s">
        <v>3457</v>
      </c>
      <c r="G1282" t="s">
        <v>3458</v>
      </c>
      <c r="H1282" t="s">
        <v>3459</v>
      </c>
    </row>
    <row r="1283" spans="2:8" x14ac:dyDescent="0.55000000000000004">
      <c r="B1283" s="7"/>
      <c r="D1283" t="s">
        <v>3460</v>
      </c>
      <c r="E1283">
        <v>0</v>
      </c>
      <c r="F1283" t="s">
        <v>3461</v>
      </c>
      <c r="G1283" t="s">
        <v>3462</v>
      </c>
      <c r="H1283" t="s">
        <v>3463</v>
      </c>
    </row>
    <row r="1284" spans="2:8" x14ac:dyDescent="0.55000000000000004">
      <c r="B1284" s="7"/>
      <c r="D1284" t="s">
        <v>3464</v>
      </c>
      <c r="E1284">
        <v>0</v>
      </c>
      <c r="F1284" t="s">
        <v>3465</v>
      </c>
      <c r="G1284" t="s">
        <v>3466</v>
      </c>
      <c r="H1284" t="s">
        <v>3467</v>
      </c>
    </row>
    <row r="1285" spans="2:8" x14ac:dyDescent="0.55000000000000004">
      <c r="B1285" s="7"/>
      <c r="D1285" t="s">
        <v>3468</v>
      </c>
      <c r="E1285">
        <v>0</v>
      </c>
      <c r="F1285" t="s">
        <v>3469</v>
      </c>
      <c r="G1285" t="s">
        <v>3470</v>
      </c>
      <c r="H1285" t="s">
        <v>3471</v>
      </c>
    </row>
    <row r="1286" spans="2:8" x14ac:dyDescent="0.55000000000000004">
      <c r="B1286" s="7"/>
      <c r="D1286" t="s">
        <v>3472</v>
      </c>
      <c r="E1286">
        <v>0</v>
      </c>
      <c r="F1286" t="s">
        <v>3473</v>
      </c>
      <c r="G1286" t="s">
        <v>3474</v>
      </c>
      <c r="H1286" t="s">
        <v>3475</v>
      </c>
    </row>
    <row r="1287" spans="2:8" x14ac:dyDescent="0.55000000000000004">
      <c r="B1287" s="7"/>
      <c r="D1287" t="s">
        <v>3476</v>
      </c>
      <c r="E1287">
        <v>0</v>
      </c>
      <c r="F1287" t="s">
        <v>3477</v>
      </c>
      <c r="G1287" t="s">
        <v>3478</v>
      </c>
      <c r="H1287" t="s">
        <v>3479</v>
      </c>
    </row>
    <row r="1288" spans="2:8" x14ac:dyDescent="0.55000000000000004">
      <c r="B1288" s="7"/>
      <c r="D1288" t="s">
        <v>3480</v>
      </c>
      <c r="E1288">
        <v>0</v>
      </c>
      <c r="F1288" t="s">
        <v>3481</v>
      </c>
      <c r="G1288" t="s">
        <v>3482</v>
      </c>
      <c r="H1288" t="s">
        <v>3483</v>
      </c>
    </row>
    <row r="1289" spans="2:8" x14ac:dyDescent="0.55000000000000004">
      <c r="B1289" s="7"/>
      <c r="D1289" t="s">
        <v>3484</v>
      </c>
      <c r="E1289">
        <v>0</v>
      </c>
      <c r="F1289" t="s">
        <v>3485</v>
      </c>
      <c r="G1289" t="s">
        <v>3486</v>
      </c>
      <c r="H1289" t="s">
        <v>3487</v>
      </c>
    </row>
    <row r="1290" spans="2:8" x14ac:dyDescent="0.55000000000000004">
      <c r="B1290" s="7"/>
      <c r="D1290" t="s">
        <v>3488</v>
      </c>
      <c r="E1290">
        <v>0</v>
      </c>
      <c r="F1290" t="s">
        <v>3489</v>
      </c>
      <c r="G1290" t="s">
        <v>3490</v>
      </c>
      <c r="H1290" t="s">
        <v>3491</v>
      </c>
    </row>
    <row r="1291" spans="2:8" x14ac:dyDescent="0.55000000000000004">
      <c r="B1291" s="7"/>
      <c r="D1291" t="s">
        <v>3492</v>
      </c>
      <c r="E1291">
        <v>0</v>
      </c>
      <c r="F1291" t="s">
        <v>3493</v>
      </c>
      <c r="G1291" t="s">
        <v>3494</v>
      </c>
      <c r="H1291" t="s">
        <v>3495</v>
      </c>
    </row>
    <row r="1292" spans="2:8" x14ac:dyDescent="0.55000000000000004">
      <c r="B1292" s="7"/>
      <c r="D1292" t="s">
        <v>3496</v>
      </c>
      <c r="E1292">
        <v>0</v>
      </c>
      <c r="F1292" t="s">
        <v>3497</v>
      </c>
      <c r="G1292" t="s">
        <v>3498</v>
      </c>
      <c r="H1292" t="s">
        <v>3499</v>
      </c>
    </row>
    <row r="1293" spans="2:8" x14ac:dyDescent="0.55000000000000004">
      <c r="B1293" s="7"/>
      <c r="D1293" t="s">
        <v>3500</v>
      </c>
      <c r="E1293">
        <v>0</v>
      </c>
      <c r="F1293" t="s">
        <v>3501</v>
      </c>
      <c r="G1293" t="s">
        <v>3502</v>
      </c>
      <c r="H1293" t="s">
        <v>3503</v>
      </c>
    </row>
    <row r="1294" spans="2:8" x14ac:dyDescent="0.55000000000000004">
      <c r="B1294" s="7"/>
      <c r="D1294" t="s">
        <v>3512</v>
      </c>
      <c r="E1294">
        <v>0</v>
      </c>
      <c r="F1294" t="s">
        <v>3513</v>
      </c>
      <c r="G1294" t="s">
        <v>3514</v>
      </c>
      <c r="H1294" t="s">
        <v>3515</v>
      </c>
    </row>
    <row r="1295" spans="2:8" x14ac:dyDescent="0.55000000000000004">
      <c r="B1295" s="7"/>
      <c r="D1295" t="s">
        <v>3520</v>
      </c>
      <c r="E1295">
        <v>0</v>
      </c>
      <c r="F1295" t="s">
        <v>3521</v>
      </c>
      <c r="G1295" t="s">
        <v>3522</v>
      </c>
      <c r="H1295" t="s">
        <v>3523</v>
      </c>
    </row>
    <row r="1296" spans="2:8" x14ac:dyDescent="0.55000000000000004">
      <c r="B1296" s="7"/>
      <c r="D1296" t="s">
        <v>3528</v>
      </c>
      <c r="E1296">
        <v>0</v>
      </c>
      <c r="F1296" t="s">
        <v>3529</v>
      </c>
      <c r="G1296" t="s">
        <v>3530</v>
      </c>
      <c r="H1296" t="s">
        <v>3531</v>
      </c>
    </row>
    <row r="1297" spans="2:8" x14ac:dyDescent="0.55000000000000004">
      <c r="B1297" s="7"/>
      <c r="D1297" t="s">
        <v>3532</v>
      </c>
      <c r="E1297">
        <v>0</v>
      </c>
      <c r="F1297" t="s">
        <v>3533</v>
      </c>
      <c r="G1297" t="s">
        <v>3534</v>
      </c>
      <c r="H1297" t="s">
        <v>3535</v>
      </c>
    </row>
    <row r="1298" spans="2:8" x14ac:dyDescent="0.55000000000000004">
      <c r="B1298" s="7"/>
      <c r="D1298" t="s">
        <v>3540</v>
      </c>
      <c r="E1298">
        <v>0</v>
      </c>
      <c r="F1298" t="s">
        <v>3541</v>
      </c>
      <c r="G1298" t="s">
        <v>3542</v>
      </c>
      <c r="H1298" t="s">
        <v>3543</v>
      </c>
    </row>
    <row r="1299" spans="2:8" x14ac:dyDescent="0.55000000000000004">
      <c r="B1299" s="7"/>
      <c r="D1299" t="s">
        <v>3544</v>
      </c>
      <c r="E1299">
        <v>0</v>
      </c>
      <c r="F1299" t="s">
        <v>3545</v>
      </c>
      <c r="G1299" t="s">
        <v>3546</v>
      </c>
      <c r="H1299" t="s">
        <v>3547</v>
      </c>
    </row>
    <row r="1300" spans="2:8" x14ac:dyDescent="0.55000000000000004">
      <c r="B1300" s="7"/>
      <c r="D1300" t="s">
        <v>3555</v>
      </c>
      <c r="E1300">
        <v>0</v>
      </c>
      <c r="F1300" t="s">
        <v>3556</v>
      </c>
      <c r="G1300" t="s">
        <v>3557</v>
      </c>
      <c r="H1300" t="s">
        <v>3558</v>
      </c>
    </row>
    <row r="1301" spans="2:8" x14ac:dyDescent="0.55000000000000004">
      <c r="B1301" s="7"/>
      <c r="D1301" t="s">
        <v>3563</v>
      </c>
      <c r="E1301">
        <v>0</v>
      </c>
      <c r="F1301" t="s">
        <v>3564</v>
      </c>
      <c r="G1301" t="s">
        <v>3565</v>
      </c>
      <c r="H1301" t="s">
        <v>3566</v>
      </c>
    </row>
    <row r="1302" spans="2:8" x14ac:dyDescent="0.55000000000000004">
      <c r="B1302" s="7"/>
      <c r="D1302" t="s">
        <v>3567</v>
      </c>
      <c r="E1302">
        <v>0</v>
      </c>
      <c r="F1302" t="s">
        <v>3568</v>
      </c>
      <c r="G1302" t="s">
        <v>3569</v>
      </c>
      <c r="H1302" t="s">
        <v>3570</v>
      </c>
    </row>
    <row r="1303" spans="2:8" x14ac:dyDescent="0.55000000000000004">
      <c r="B1303" s="7"/>
      <c r="D1303" t="s">
        <v>3575</v>
      </c>
      <c r="E1303">
        <v>0</v>
      </c>
      <c r="F1303" t="s">
        <v>3576</v>
      </c>
      <c r="G1303" t="s">
        <v>3577</v>
      </c>
      <c r="H1303" t="s">
        <v>3578</v>
      </c>
    </row>
    <row r="1304" spans="2:8" x14ac:dyDescent="0.55000000000000004">
      <c r="B1304" s="7"/>
      <c r="D1304" t="s">
        <v>3579</v>
      </c>
      <c r="E1304">
        <v>0</v>
      </c>
      <c r="F1304" t="s">
        <v>3580</v>
      </c>
      <c r="G1304" t="s">
        <v>3581</v>
      </c>
      <c r="H1304" t="s">
        <v>3582</v>
      </c>
    </row>
    <row r="1305" spans="2:8" x14ac:dyDescent="0.55000000000000004">
      <c r="B1305" s="7"/>
      <c r="D1305" t="s">
        <v>3583</v>
      </c>
      <c r="E1305">
        <v>0</v>
      </c>
      <c r="F1305" t="s">
        <v>3584</v>
      </c>
      <c r="G1305" t="s">
        <v>3585</v>
      </c>
      <c r="H1305" t="s">
        <v>3586</v>
      </c>
    </row>
    <row r="1306" spans="2:8" x14ac:dyDescent="0.55000000000000004">
      <c r="B1306" s="7"/>
      <c r="D1306" t="s">
        <v>3587</v>
      </c>
      <c r="E1306">
        <v>0</v>
      </c>
      <c r="F1306" t="s">
        <v>3588</v>
      </c>
      <c r="G1306" t="s">
        <v>3589</v>
      </c>
      <c r="H1306" t="s">
        <v>3590</v>
      </c>
    </row>
    <row r="1307" spans="2:8" x14ac:dyDescent="0.55000000000000004">
      <c r="B1307" s="7"/>
      <c r="D1307" t="s">
        <v>3591</v>
      </c>
      <c r="E1307">
        <v>0</v>
      </c>
      <c r="F1307" t="s">
        <v>3592</v>
      </c>
      <c r="G1307" t="s">
        <v>3593</v>
      </c>
      <c r="H1307" t="s">
        <v>3594</v>
      </c>
    </row>
    <row r="1308" spans="2:8" x14ac:dyDescent="0.55000000000000004">
      <c r="B1308" s="7"/>
      <c r="D1308" t="s">
        <v>3595</v>
      </c>
      <c r="E1308">
        <v>0</v>
      </c>
      <c r="F1308" t="s">
        <v>3596</v>
      </c>
      <c r="G1308" t="s">
        <v>3597</v>
      </c>
      <c r="H1308" t="s">
        <v>3598</v>
      </c>
    </row>
    <row r="1309" spans="2:8" x14ac:dyDescent="0.55000000000000004">
      <c r="B1309" s="7"/>
      <c r="D1309" t="s">
        <v>3603</v>
      </c>
      <c r="E1309">
        <v>0</v>
      </c>
      <c r="F1309" t="s">
        <v>3604</v>
      </c>
      <c r="G1309" t="s">
        <v>3605</v>
      </c>
      <c r="H1309" t="s">
        <v>3606</v>
      </c>
    </row>
    <row r="1310" spans="2:8" x14ac:dyDescent="0.55000000000000004">
      <c r="B1310" s="7"/>
      <c r="D1310" t="s">
        <v>3607</v>
      </c>
      <c r="E1310">
        <v>0</v>
      </c>
      <c r="F1310" t="s">
        <v>3608</v>
      </c>
      <c r="G1310" t="s">
        <v>3609</v>
      </c>
      <c r="H1310" t="s">
        <v>3610</v>
      </c>
    </row>
    <row r="1311" spans="2:8" x14ac:dyDescent="0.55000000000000004">
      <c r="B1311" s="7"/>
      <c r="D1311" t="s">
        <v>3619</v>
      </c>
      <c r="E1311">
        <v>0</v>
      </c>
      <c r="F1311" t="s">
        <v>3620</v>
      </c>
      <c r="G1311" t="s">
        <v>3621</v>
      </c>
      <c r="H1311" t="s">
        <v>3622</v>
      </c>
    </row>
    <row r="1312" spans="2:8" x14ac:dyDescent="0.55000000000000004">
      <c r="B1312" s="7"/>
      <c r="D1312" t="s">
        <v>3623</v>
      </c>
      <c r="E1312">
        <v>0</v>
      </c>
      <c r="F1312" t="s">
        <v>3624</v>
      </c>
      <c r="G1312" t="s">
        <v>3625</v>
      </c>
      <c r="H1312" t="s">
        <v>3626</v>
      </c>
    </row>
    <row r="1313" spans="2:8" x14ac:dyDescent="0.55000000000000004">
      <c r="B1313" s="7"/>
      <c r="D1313" t="s">
        <v>3627</v>
      </c>
      <c r="E1313">
        <v>0</v>
      </c>
      <c r="F1313" t="s">
        <v>3628</v>
      </c>
      <c r="G1313" t="s">
        <v>3629</v>
      </c>
      <c r="H1313" t="s">
        <v>3630</v>
      </c>
    </row>
    <row r="1314" spans="2:8" x14ac:dyDescent="0.55000000000000004">
      <c r="B1314" s="7"/>
      <c r="D1314" t="s">
        <v>3631</v>
      </c>
      <c r="E1314">
        <v>0</v>
      </c>
      <c r="F1314" t="s">
        <v>3632</v>
      </c>
      <c r="G1314" t="s">
        <v>3633</v>
      </c>
      <c r="H1314" t="s">
        <v>3634</v>
      </c>
    </row>
    <row r="1315" spans="2:8" x14ac:dyDescent="0.55000000000000004">
      <c r="B1315" s="7"/>
      <c r="D1315" t="s">
        <v>3639</v>
      </c>
      <c r="E1315">
        <v>0</v>
      </c>
      <c r="F1315" t="s">
        <v>3640</v>
      </c>
      <c r="G1315" t="s">
        <v>3641</v>
      </c>
      <c r="H1315" t="s">
        <v>3642</v>
      </c>
    </row>
    <row r="1316" spans="2:8" x14ac:dyDescent="0.55000000000000004">
      <c r="B1316" s="7"/>
      <c r="D1316" t="s">
        <v>3643</v>
      </c>
      <c r="E1316">
        <v>0</v>
      </c>
      <c r="F1316" t="s">
        <v>3644</v>
      </c>
      <c r="G1316" t="s">
        <v>3645</v>
      </c>
      <c r="H1316" t="s">
        <v>3646</v>
      </c>
    </row>
    <row r="1317" spans="2:8" x14ac:dyDescent="0.55000000000000004">
      <c r="B1317" s="7"/>
      <c r="D1317" t="s">
        <v>3647</v>
      </c>
      <c r="E1317">
        <v>0</v>
      </c>
      <c r="F1317" t="s">
        <v>3648</v>
      </c>
      <c r="G1317" t="s">
        <v>3649</v>
      </c>
      <c r="H1317" t="s">
        <v>3650</v>
      </c>
    </row>
    <row r="1318" spans="2:8" x14ac:dyDescent="0.55000000000000004">
      <c r="B1318" s="7"/>
      <c r="D1318" t="s">
        <v>3651</v>
      </c>
      <c r="E1318">
        <v>0</v>
      </c>
      <c r="F1318" t="s">
        <v>3652</v>
      </c>
      <c r="G1318" t="s">
        <v>3653</v>
      </c>
      <c r="H1318" t="s">
        <v>3654</v>
      </c>
    </row>
    <row r="1319" spans="2:8" x14ac:dyDescent="0.55000000000000004">
      <c r="B1319" s="7"/>
      <c r="D1319" t="s">
        <v>3655</v>
      </c>
      <c r="E1319">
        <v>0</v>
      </c>
      <c r="F1319" t="s">
        <v>3656</v>
      </c>
      <c r="G1319" t="s">
        <v>3657</v>
      </c>
      <c r="H1319" t="s">
        <v>3658</v>
      </c>
    </row>
    <row r="1320" spans="2:8" x14ac:dyDescent="0.55000000000000004">
      <c r="B1320" s="7"/>
      <c r="D1320" t="s">
        <v>3659</v>
      </c>
      <c r="E1320">
        <v>0</v>
      </c>
      <c r="F1320" t="s">
        <v>3660</v>
      </c>
      <c r="G1320" t="s">
        <v>3661</v>
      </c>
      <c r="H1320" t="s">
        <v>3662</v>
      </c>
    </row>
    <row r="1321" spans="2:8" x14ac:dyDescent="0.55000000000000004">
      <c r="B1321" s="7"/>
      <c r="D1321" t="s">
        <v>3663</v>
      </c>
      <c r="E1321">
        <v>0</v>
      </c>
      <c r="F1321" t="s">
        <v>3664</v>
      </c>
      <c r="G1321" t="s">
        <v>3665</v>
      </c>
      <c r="H1321" t="s">
        <v>3666</v>
      </c>
    </row>
    <row r="1322" spans="2:8" x14ac:dyDescent="0.55000000000000004">
      <c r="B1322" s="7"/>
      <c r="D1322" t="s">
        <v>3667</v>
      </c>
      <c r="E1322">
        <v>0</v>
      </c>
      <c r="F1322" t="s">
        <v>3668</v>
      </c>
      <c r="G1322" t="s">
        <v>3669</v>
      </c>
      <c r="H1322" t="s">
        <v>3670</v>
      </c>
    </row>
    <row r="1323" spans="2:8" x14ac:dyDescent="0.55000000000000004">
      <c r="B1323" s="7"/>
      <c r="D1323" t="s">
        <v>3671</v>
      </c>
      <c r="E1323">
        <v>0</v>
      </c>
      <c r="F1323" t="s">
        <v>3672</v>
      </c>
      <c r="G1323" t="s">
        <v>3673</v>
      </c>
      <c r="H1323" t="s">
        <v>3674</v>
      </c>
    </row>
    <row r="1324" spans="2:8" x14ac:dyDescent="0.55000000000000004">
      <c r="B1324" s="7"/>
      <c r="D1324" t="s">
        <v>3675</v>
      </c>
      <c r="E1324">
        <v>0</v>
      </c>
      <c r="F1324" t="s">
        <v>3676</v>
      </c>
      <c r="G1324" t="s">
        <v>3677</v>
      </c>
      <c r="H1324" t="s">
        <v>3678</v>
      </c>
    </row>
    <row r="1325" spans="2:8" x14ac:dyDescent="0.55000000000000004">
      <c r="B1325" s="7"/>
      <c r="D1325" t="s">
        <v>3679</v>
      </c>
      <c r="E1325">
        <v>0</v>
      </c>
      <c r="F1325" t="s">
        <v>3680</v>
      </c>
      <c r="G1325" t="s">
        <v>3681</v>
      </c>
      <c r="H1325" t="s">
        <v>3682</v>
      </c>
    </row>
    <row r="1326" spans="2:8" x14ac:dyDescent="0.55000000000000004">
      <c r="B1326" s="7"/>
      <c r="D1326" t="s">
        <v>3683</v>
      </c>
      <c r="E1326">
        <v>0</v>
      </c>
      <c r="F1326" t="s">
        <v>3684</v>
      </c>
      <c r="G1326" t="s">
        <v>3685</v>
      </c>
      <c r="H1326" t="s">
        <v>3686</v>
      </c>
    </row>
    <row r="1327" spans="2:8" x14ac:dyDescent="0.55000000000000004">
      <c r="B1327" s="7"/>
      <c r="D1327" t="s">
        <v>3687</v>
      </c>
      <c r="E1327">
        <v>0</v>
      </c>
      <c r="F1327" t="s">
        <v>3688</v>
      </c>
      <c r="G1327" t="s">
        <v>3689</v>
      </c>
      <c r="H1327" t="s">
        <v>3690</v>
      </c>
    </row>
    <row r="1328" spans="2:8" x14ac:dyDescent="0.55000000000000004">
      <c r="B1328" s="7"/>
      <c r="D1328" t="s">
        <v>3691</v>
      </c>
      <c r="E1328">
        <v>0</v>
      </c>
      <c r="F1328" t="s">
        <v>3692</v>
      </c>
      <c r="G1328" t="s">
        <v>3693</v>
      </c>
      <c r="H1328" t="s">
        <v>3694</v>
      </c>
    </row>
    <row r="1329" spans="2:8" x14ac:dyDescent="0.55000000000000004">
      <c r="B1329" s="7"/>
      <c r="D1329" t="s">
        <v>3695</v>
      </c>
      <c r="E1329">
        <v>0</v>
      </c>
      <c r="F1329" t="s">
        <v>3696</v>
      </c>
      <c r="G1329" t="s">
        <v>3697</v>
      </c>
      <c r="H1329" t="s">
        <v>3698</v>
      </c>
    </row>
    <row r="1330" spans="2:8" x14ac:dyDescent="0.55000000000000004">
      <c r="B1330" s="7"/>
      <c r="D1330" t="s">
        <v>3699</v>
      </c>
      <c r="E1330">
        <v>0</v>
      </c>
      <c r="F1330" t="s">
        <v>3700</v>
      </c>
      <c r="G1330" t="s">
        <v>3701</v>
      </c>
      <c r="H1330" t="s">
        <v>3702</v>
      </c>
    </row>
    <row r="1331" spans="2:8" x14ac:dyDescent="0.55000000000000004">
      <c r="B1331" s="7"/>
      <c r="D1331" t="s">
        <v>3703</v>
      </c>
      <c r="E1331">
        <v>0</v>
      </c>
      <c r="F1331" t="s">
        <v>3704</v>
      </c>
      <c r="G1331" t="s">
        <v>3705</v>
      </c>
      <c r="H1331" t="s">
        <v>3706</v>
      </c>
    </row>
    <row r="1332" spans="2:8" x14ac:dyDescent="0.55000000000000004">
      <c r="B1332" s="7"/>
      <c r="D1332" t="s">
        <v>3707</v>
      </c>
      <c r="E1332">
        <v>0</v>
      </c>
      <c r="F1332" t="s">
        <v>3708</v>
      </c>
      <c r="G1332" t="s">
        <v>3709</v>
      </c>
      <c r="H1332" t="s">
        <v>3710</v>
      </c>
    </row>
    <row r="1333" spans="2:8" x14ac:dyDescent="0.55000000000000004">
      <c r="B1333" s="7"/>
      <c r="D1333" t="s">
        <v>3711</v>
      </c>
      <c r="E1333">
        <v>0</v>
      </c>
      <c r="F1333" t="s">
        <v>3712</v>
      </c>
      <c r="G1333" t="s">
        <v>3713</v>
      </c>
      <c r="H1333" t="s">
        <v>3714</v>
      </c>
    </row>
    <row r="1334" spans="2:8" x14ac:dyDescent="0.55000000000000004">
      <c r="B1334" s="7"/>
      <c r="D1334" t="s">
        <v>3715</v>
      </c>
      <c r="E1334">
        <v>0</v>
      </c>
      <c r="F1334" t="s">
        <v>3716</v>
      </c>
      <c r="G1334" t="s">
        <v>3717</v>
      </c>
      <c r="H1334" t="s">
        <v>3718</v>
      </c>
    </row>
    <row r="1335" spans="2:8" x14ac:dyDescent="0.55000000000000004">
      <c r="B1335" s="7"/>
      <c r="D1335" t="s">
        <v>3719</v>
      </c>
      <c r="E1335">
        <v>0</v>
      </c>
      <c r="F1335" t="s">
        <v>3720</v>
      </c>
      <c r="G1335" t="s">
        <v>3721</v>
      </c>
      <c r="H1335" t="s">
        <v>3722</v>
      </c>
    </row>
    <row r="1336" spans="2:8" x14ac:dyDescent="0.55000000000000004">
      <c r="B1336" s="7"/>
      <c r="D1336" t="s">
        <v>3723</v>
      </c>
      <c r="E1336">
        <v>0</v>
      </c>
      <c r="F1336" t="s">
        <v>3724</v>
      </c>
      <c r="G1336" t="s">
        <v>3725</v>
      </c>
      <c r="H1336" t="s">
        <v>3726</v>
      </c>
    </row>
    <row r="1337" spans="2:8" x14ac:dyDescent="0.55000000000000004">
      <c r="B1337" s="7"/>
      <c r="D1337" t="s">
        <v>3727</v>
      </c>
      <c r="E1337">
        <v>0</v>
      </c>
      <c r="F1337" t="s">
        <v>3728</v>
      </c>
      <c r="G1337" t="s">
        <v>3729</v>
      </c>
      <c r="H1337" t="s">
        <v>3730</v>
      </c>
    </row>
    <row r="1338" spans="2:8" x14ac:dyDescent="0.55000000000000004">
      <c r="B1338" s="7"/>
      <c r="D1338" t="s">
        <v>3731</v>
      </c>
      <c r="E1338">
        <v>0</v>
      </c>
      <c r="F1338" t="s">
        <v>3732</v>
      </c>
      <c r="G1338" t="s">
        <v>3733</v>
      </c>
      <c r="H1338" t="s">
        <v>3734</v>
      </c>
    </row>
    <row r="1339" spans="2:8" x14ac:dyDescent="0.55000000000000004">
      <c r="B1339" s="7"/>
      <c r="D1339" t="s">
        <v>3738</v>
      </c>
      <c r="E1339">
        <v>0</v>
      </c>
      <c r="F1339" t="s">
        <v>3739</v>
      </c>
      <c r="G1339" t="s">
        <v>3740</v>
      </c>
      <c r="H1339" t="s">
        <v>3741</v>
      </c>
    </row>
    <row r="1340" spans="2:8" x14ac:dyDescent="0.55000000000000004">
      <c r="B1340" s="7"/>
      <c r="D1340" t="s">
        <v>3742</v>
      </c>
      <c r="E1340">
        <v>0</v>
      </c>
      <c r="F1340" t="s">
        <v>3743</v>
      </c>
      <c r="G1340" t="s">
        <v>3744</v>
      </c>
      <c r="H1340" t="s">
        <v>3745</v>
      </c>
    </row>
    <row r="1341" spans="2:8" x14ac:dyDescent="0.55000000000000004">
      <c r="B1341" s="7"/>
      <c r="D1341" t="s">
        <v>3746</v>
      </c>
      <c r="E1341">
        <v>0</v>
      </c>
      <c r="F1341" t="s">
        <v>3747</v>
      </c>
      <c r="G1341" t="s">
        <v>3748</v>
      </c>
      <c r="H1341" t="s">
        <v>3749</v>
      </c>
    </row>
    <row r="1342" spans="2:8" x14ac:dyDescent="0.55000000000000004">
      <c r="B1342" s="7"/>
      <c r="D1342" t="s">
        <v>3754</v>
      </c>
      <c r="E1342">
        <v>0</v>
      </c>
      <c r="F1342" t="s">
        <v>3755</v>
      </c>
      <c r="G1342" t="s">
        <v>3756</v>
      </c>
      <c r="H1342" t="s">
        <v>3757</v>
      </c>
    </row>
    <row r="1343" spans="2:8" x14ac:dyDescent="0.55000000000000004">
      <c r="B1343" s="7"/>
      <c r="D1343" t="s">
        <v>3758</v>
      </c>
      <c r="E1343">
        <v>0</v>
      </c>
      <c r="F1343" t="s">
        <v>3759</v>
      </c>
      <c r="G1343" t="s">
        <v>3760</v>
      </c>
      <c r="H1343" t="s">
        <v>3761</v>
      </c>
    </row>
    <row r="1344" spans="2:8" x14ac:dyDescent="0.55000000000000004">
      <c r="B1344" s="7"/>
      <c r="D1344" t="s">
        <v>3778</v>
      </c>
      <c r="E1344">
        <v>0</v>
      </c>
      <c r="F1344" t="s">
        <v>3779</v>
      </c>
      <c r="G1344" t="s">
        <v>3780</v>
      </c>
      <c r="H1344" t="s">
        <v>3781</v>
      </c>
    </row>
    <row r="1345" spans="2:8" x14ac:dyDescent="0.55000000000000004">
      <c r="B1345" s="7"/>
      <c r="D1345" t="s">
        <v>3790</v>
      </c>
      <c r="E1345">
        <v>0</v>
      </c>
      <c r="F1345" t="s">
        <v>3791</v>
      </c>
      <c r="G1345" t="s">
        <v>3792</v>
      </c>
      <c r="H1345" t="s">
        <v>3793</v>
      </c>
    </row>
    <row r="1346" spans="2:8" x14ac:dyDescent="0.55000000000000004">
      <c r="B1346" s="7"/>
      <c r="D1346" t="s">
        <v>3794</v>
      </c>
      <c r="E1346">
        <v>0</v>
      </c>
      <c r="F1346" t="s">
        <v>3795</v>
      </c>
      <c r="G1346" t="s">
        <v>3796</v>
      </c>
      <c r="H1346" t="s">
        <v>3797</v>
      </c>
    </row>
    <row r="1347" spans="2:8" x14ac:dyDescent="0.55000000000000004">
      <c r="B1347" s="7"/>
      <c r="D1347" t="s">
        <v>3798</v>
      </c>
      <c r="E1347">
        <v>0</v>
      </c>
      <c r="F1347" t="s">
        <v>3799</v>
      </c>
      <c r="G1347" t="s">
        <v>3800</v>
      </c>
      <c r="H1347" t="s">
        <v>3801</v>
      </c>
    </row>
    <row r="1348" spans="2:8" x14ac:dyDescent="0.55000000000000004">
      <c r="B1348" s="7"/>
      <c r="D1348" t="s">
        <v>3802</v>
      </c>
      <c r="E1348">
        <v>0</v>
      </c>
      <c r="F1348" t="s">
        <v>3803</v>
      </c>
      <c r="G1348" t="s">
        <v>3804</v>
      </c>
      <c r="H1348" t="s">
        <v>3805</v>
      </c>
    </row>
    <row r="1349" spans="2:8" x14ac:dyDescent="0.55000000000000004">
      <c r="B1349" s="7"/>
      <c r="D1349" t="s">
        <v>3806</v>
      </c>
      <c r="E1349">
        <v>0</v>
      </c>
      <c r="F1349" t="s">
        <v>3807</v>
      </c>
      <c r="G1349" t="s">
        <v>3808</v>
      </c>
      <c r="H1349" t="s">
        <v>3809</v>
      </c>
    </row>
    <row r="1350" spans="2:8" x14ac:dyDescent="0.55000000000000004">
      <c r="B1350" s="7"/>
      <c r="D1350" t="s">
        <v>3822</v>
      </c>
      <c r="E1350">
        <v>0</v>
      </c>
      <c r="F1350" t="s">
        <v>3823</v>
      </c>
      <c r="G1350" t="s">
        <v>3824</v>
      </c>
      <c r="H1350" t="s">
        <v>3825</v>
      </c>
    </row>
    <row r="1351" spans="2:8" x14ac:dyDescent="0.55000000000000004">
      <c r="B1351" s="7"/>
      <c r="D1351" t="s">
        <v>3826</v>
      </c>
      <c r="E1351">
        <v>0</v>
      </c>
      <c r="F1351" t="s">
        <v>3827</v>
      </c>
      <c r="G1351" t="s">
        <v>3828</v>
      </c>
      <c r="H1351" t="s">
        <v>3829</v>
      </c>
    </row>
    <row r="1352" spans="2:8" x14ac:dyDescent="0.55000000000000004">
      <c r="B1352" s="7"/>
      <c r="D1352" t="s">
        <v>3830</v>
      </c>
      <c r="E1352">
        <v>0</v>
      </c>
      <c r="F1352" t="s">
        <v>3831</v>
      </c>
      <c r="G1352" t="s">
        <v>3832</v>
      </c>
      <c r="H1352" t="s">
        <v>3833</v>
      </c>
    </row>
    <row r="1353" spans="2:8" x14ac:dyDescent="0.55000000000000004">
      <c r="B1353" s="7"/>
      <c r="D1353" t="s">
        <v>3834</v>
      </c>
      <c r="E1353">
        <v>0</v>
      </c>
      <c r="F1353" t="s">
        <v>3835</v>
      </c>
      <c r="G1353" t="s">
        <v>3836</v>
      </c>
      <c r="H1353" t="s">
        <v>3837</v>
      </c>
    </row>
    <row r="1354" spans="2:8" x14ac:dyDescent="0.55000000000000004">
      <c r="B1354" s="7"/>
      <c r="D1354" t="s">
        <v>3838</v>
      </c>
      <c r="E1354">
        <v>0</v>
      </c>
      <c r="F1354" t="s">
        <v>3839</v>
      </c>
      <c r="G1354" t="s">
        <v>3840</v>
      </c>
      <c r="H1354" t="s">
        <v>3841</v>
      </c>
    </row>
    <row r="1355" spans="2:8" x14ac:dyDescent="0.55000000000000004">
      <c r="B1355" s="7"/>
      <c r="D1355" t="s">
        <v>3842</v>
      </c>
      <c r="E1355">
        <v>0</v>
      </c>
      <c r="F1355" t="s">
        <v>3843</v>
      </c>
      <c r="G1355" t="s">
        <v>3844</v>
      </c>
      <c r="H1355" t="s">
        <v>3845</v>
      </c>
    </row>
    <row r="1356" spans="2:8" x14ac:dyDescent="0.55000000000000004">
      <c r="B1356" s="7"/>
      <c r="D1356" t="s">
        <v>3846</v>
      </c>
      <c r="E1356">
        <v>0</v>
      </c>
      <c r="F1356" t="s">
        <v>3847</v>
      </c>
      <c r="G1356" t="s">
        <v>3848</v>
      </c>
      <c r="H1356" t="s">
        <v>3849</v>
      </c>
    </row>
    <row r="1357" spans="2:8" x14ac:dyDescent="0.55000000000000004">
      <c r="B1357" s="7"/>
      <c r="D1357" t="s">
        <v>3860</v>
      </c>
      <c r="E1357">
        <v>0</v>
      </c>
      <c r="F1357" t="s">
        <v>3861</v>
      </c>
      <c r="G1357" t="s">
        <v>3862</v>
      </c>
      <c r="H1357" t="s">
        <v>3859</v>
      </c>
    </row>
    <row r="1358" spans="2:8" x14ac:dyDescent="0.55000000000000004">
      <c r="B1358" s="7"/>
      <c r="D1358" t="s">
        <v>3863</v>
      </c>
      <c r="E1358">
        <v>1</v>
      </c>
      <c r="F1358" t="s">
        <v>3864</v>
      </c>
      <c r="G1358" t="s">
        <v>3862</v>
      </c>
      <c r="H1358" t="s">
        <v>3859</v>
      </c>
    </row>
    <row r="1359" spans="2:8" x14ac:dyDescent="0.55000000000000004">
      <c r="B1359" s="7"/>
      <c r="D1359" t="s">
        <v>3865</v>
      </c>
      <c r="E1359">
        <v>2</v>
      </c>
      <c r="F1359" t="s">
        <v>3866</v>
      </c>
      <c r="G1359" t="s">
        <v>3862</v>
      </c>
      <c r="H1359" t="s">
        <v>3859</v>
      </c>
    </row>
    <row r="1360" spans="2:8" x14ac:dyDescent="0.55000000000000004">
      <c r="B1360" s="7"/>
      <c r="D1360" t="s">
        <v>3867</v>
      </c>
      <c r="E1360">
        <v>3</v>
      </c>
      <c r="F1360" t="s">
        <v>3868</v>
      </c>
      <c r="G1360" t="s">
        <v>3862</v>
      </c>
      <c r="H1360" t="s">
        <v>3859</v>
      </c>
    </row>
    <row r="1361" spans="2:8" x14ac:dyDescent="0.55000000000000004">
      <c r="B1361" s="7"/>
      <c r="D1361" t="s">
        <v>3869</v>
      </c>
      <c r="E1361">
        <v>4</v>
      </c>
      <c r="F1361" t="s">
        <v>3870</v>
      </c>
      <c r="G1361" t="s">
        <v>3862</v>
      </c>
      <c r="H1361" t="s">
        <v>3859</v>
      </c>
    </row>
    <row r="1362" spans="2:8" x14ac:dyDescent="0.55000000000000004">
      <c r="B1362" s="7"/>
      <c r="D1362" t="s">
        <v>3871</v>
      </c>
      <c r="E1362">
        <v>5</v>
      </c>
      <c r="F1362" t="s">
        <v>3872</v>
      </c>
      <c r="G1362" t="s">
        <v>3862</v>
      </c>
      <c r="H1362" t="s">
        <v>3859</v>
      </c>
    </row>
    <row r="1363" spans="2:8" x14ac:dyDescent="0.55000000000000004">
      <c r="B1363" s="7"/>
      <c r="D1363" t="s">
        <v>3873</v>
      </c>
      <c r="E1363">
        <v>6</v>
      </c>
      <c r="F1363" t="s">
        <v>3874</v>
      </c>
      <c r="G1363" t="s">
        <v>3862</v>
      </c>
      <c r="H1363" t="s">
        <v>3859</v>
      </c>
    </row>
    <row r="1364" spans="2:8" x14ac:dyDescent="0.55000000000000004">
      <c r="B1364" s="7"/>
      <c r="D1364" t="s">
        <v>3875</v>
      </c>
      <c r="E1364">
        <v>7</v>
      </c>
      <c r="F1364" t="s">
        <v>3876</v>
      </c>
      <c r="G1364" t="s">
        <v>3862</v>
      </c>
      <c r="H1364" t="s">
        <v>3859</v>
      </c>
    </row>
    <row r="1365" spans="2:8" x14ac:dyDescent="0.55000000000000004">
      <c r="B1365" s="7"/>
      <c r="D1365" t="s">
        <v>3877</v>
      </c>
      <c r="E1365">
        <v>8</v>
      </c>
      <c r="F1365" t="s">
        <v>3878</v>
      </c>
      <c r="G1365" t="s">
        <v>3862</v>
      </c>
      <c r="H1365" t="s">
        <v>3859</v>
      </c>
    </row>
    <row r="1366" spans="2:8" x14ac:dyDescent="0.55000000000000004">
      <c r="B1366" s="7"/>
      <c r="D1366" t="s">
        <v>3879</v>
      </c>
      <c r="E1366">
        <v>9</v>
      </c>
      <c r="F1366" t="s">
        <v>3880</v>
      </c>
      <c r="G1366" t="s">
        <v>3862</v>
      </c>
      <c r="H1366" t="s">
        <v>3859</v>
      </c>
    </row>
    <row r="1367" spans="2:8" x14ac:dyDescent="0.55000000000000004">
      <c r="B1367" s="7"/>
      <c r="D1367" t="s">
        <v>3881</v>
      </c>
      <c r="E1367">
        <v>10</v>
      </c>
      <c r="F1367" t="s">
        <v>3882</v>
      </c>
      <c r="G1367" t="s">
        <v>3862</v>
      </c>
      <c r="H1367" t="s">
        <v>3859</v>
      </c>
    </row>
    <row r="1368" spans="2:8" x14ac:dyDescent="0.55000000000000004">
      <c r="B1368" s="7"/>
      <c r="D1368" t="s">
        <v>3883</v>
      </c>
      <c r="E1368">
        <v>11</v>
      </c>
      <c r="F1368" t="s">
        <v>3884</v>
      </c>
      <c r="G1368" t="s">
        <v>3862</v>
      </c>
      <c r="H1368" t="s">
        <v>3859</v>
      </c>
    </row>
    <row r="1369" spans="2:8" x14ac:dyDescent="0.55000000000000004">
      <c r="B1369" s="7"/>
      <c r="D1369" t="s">
        <v>3885</v>
      </c>
      <c r="E1369">
        <v>12</v>
      </c>
      <c r="F1369" t="s">
        <v>3886</v>
      </c>
      <c r="G1369" t="s">
        <v>3862</v>
      </c>
      <c r="H1369" t="s">
        <v>3859</v>
      </c>
    </row>
    <row r="1370" spans="2:8" x14ac:dyDescent="0.55000000000000004">
      <c r="B1370" s="7"/>
      <c r="D1370" t="s">
        <v>3887</v>
      </c>
      <c r="E1370">
        <v>13</v>
      </c>
      <c r="F1370" t="s">
        <v>3888</v>
      </c>
      <c r="G1370" t="s">
        <v>3862</v>
      </c>
      <c r="H1370" t="s">
        <v>3859</v>
      </c>
    </row>
    <row r="1371" spans="2:8" x14ac:dyDescent="0.55000000000000004">
      <c r="B1371" s="7"/>
      <c r="D1371" t="s">
        <v>3889</v>
      </c>
      <c r="E1371">
        <v>14</v>
      </c>
      <c r="F1371" t="s">
        <v>3890</v>
      </c>
      <c r="G1371" t="s">
        <v>3862</v>
      </c>
      <c r="H1371" t="s">
        <v>3859</v>
      </c>
    </row>
    <row r="1372" spans="2:8" x14ac:dyDescent="0.55000000000000004">
      <c r="B1372" s="7"/>
      <c r="D1372" t="s">
        <v>3891</v>
      </c>
      <c r="E1372">
        <v>15</v>
      </c>
      <c r="F1372" t="s">
        <v>3892</v>
      </c>
      <c r="G1372" t="s">
        <v>3862</v>
      </c>
      <c r="H1372" t="s">
        <v>3859</v>
      </c>
    </row>
    <row r="1373" spans="2:8" x14ac:dyDescent="0.55000000000000004">
      <c r="B1373" s="7"/>
      <c r="D1373" t="s">
        <v>3893</v>
      </c>
      <c r="E1373">
        <v>16</v>
      </c>
      <c r="F1373" t="s">
        <v>3894</v>
      </c>
      <c r="G1373" t="s">
        <v>3862</v>
      </c>
      <c r="H1373" t="s">
        <v>3859</v>
      </c>
    </row>
    <row r="1374" spans="2:8" x14ac:dyDescent="0.55000000000000004">
      <c r="B1374" s="7"/>
      <c r="D1374" t="s">
        <v>3895</v>
      </c>
      <c r="E1374">
        <v>17</v>
      </c>
      <c r="F1374" t="s">
        <v>3896</v>
      </c>
      <c r="G1374" t="s">
        <v>3862</v>
      </c>
      <c r="H1374" t="s">
        <v>3859</v>
      </c>
    </row>
    <row r="1375" spans="2:8" x14ac:dyDescent="0.55000000000000004">
      <c r="B1375" s="7"/>
      <c r="D1375" t="s">
        <v>3897</v>
      </c>
      <c r="E1375">
        <v>18</v>
      </c>
      <c r="F1375" t="s">
        <v>3898</v>
      </c>
      <c r="G1375" t="s">
        <v>3862</v>
      </c>
      <c r="H1375" t="s">
        <v>3859</v>
      </c>
    </row>
    <row r="1376" spans="2:8" x14ac:dyDescent="0.55000000000000004">
      <c r="B1376" s="7"/>
      <c r="D1376" t="s">
        <v>3899</v>
      </c>
      <c r="E1376">
        <v>19</v>
      </c>
      <c r="F1376" t="s">
        <v>3900</v>
      </c>
      <c r="G1376" t="s">
        <v>3862</v>
      </c>
      <c r="H1376" t="s">
        <v>3859</v>
      </c>
    </row>
    <row r="1377" spans="2:8" x14ac:dyDescent="0.55000000000000004">
      <c r="B1377" s="7"/>
      <c r="D1377" t="s">
        <v>3901</v>
      </c>
      <c r="E1377">
        <v>20</v>
      </c>
      <c r="F1377" t="s">
        <v>3902</v>
      </c>
      <c r="G1377" t="s">
        <v>3862</v>
      </c>
      <c r="H1377" t="s">
        <v>3859</v>
      </c>
    </row>
    <row r="1378" spans="2:8" x14ac:dyDescent="0.55000000000000004">
      <c r="B1378" s="7"/>
      <c r="D1378" t="s">
        <v>3903</v>
      </c>
      <c r="E1378">
        <v>21</v>
      </c>
      <c r="F1378" t="s">
        <v>3904</v>
      </c>
      <c r="G1378" t="s">
        <v>3862</v>
      </c>
      <c r="H1378" t="s">
        <v>3859</v>
      </c>
    </row>
    <row r="1379" spans="2:8" x14ac:dyDescent="0.55000000000000004">
      <c r="B1379" s="7"/>
      <c r="D1379" t="s">
        <v>3906</v>
      </c>
      <c r="E1379">
        <v>0</v>
      </c>
      <c r="F1379" t="s">
        <v>3907</v>
      </c>
      <c r="G1379" t="s">
        <v>3908</v>
      </c>
      <c r="H1379" t="s">
        <v>3905</v>
      </c>
    </row>
    <row r="1380" spans="2:8" x14ac:dyDescent="0.55000000000000004">
      <c r="B1380" s="7"/>
      <c r="D1380" t="s">
        <v>3909</v>
      </c>
      <c r="E1380">
        <v>1</v>
      </c>
      <c r="F1380" t="s">
        <v>3864</v>
      </c>
      <c r="G1380" t="s">
        <v>3908</v>
      </c>
      <c r="H1380" t="s">
        <v>3905</v>
      </c>
    </row>
    <row r="1381" spans="2:8" x14ac:dyDescent="0.55000000000000004">
      <c r="B1381" s="7"/>
      <c r="D1381" t="s">
        <v>3910</v>
      </c>
      <c r="E1381">
        <v>2</v>
      </c>
      <c r="F1381" t="s">
        <v>3911</v>
      </c>
      <c r="G1381" t="s">
        <v>3908</v>
      </c>
      <c r="H1381" t="s">
        <v>3905</v>
      </c>
    </row>
    <row r="1382" spans="2:8" x14ac:dyDescent="0.55000000000000004">
      <c r="B1382" s="7"/>
      <c r="D1382" t="s">
        <v>3912</v>
      </c>
      <c r="E1382">
        <v>3</v>
      </c>
      <c r="F1382" t="s">
        <v>3913</v>
      </c>
      <c r="G1382" t="s">
        <v>3908</v>
      </c>
      <c r="H1382" t="s">
        <v>3905</v>
      </c>
    </row>
    <row r="1383" spans="2:8" x14ac:dyDescent="0.55000000000000004">
      <c r="B1383" s="7"/>
      <c r="D1383" t="s">
        <v>3914</v>
      </c>
      <c r="E1383">
        <v>4</v>
      </c>
      <c r="F1383" t="s">
        <v>3915</v>
      </c>
      <c r="G1383" t="s">
        <v>3908</v>
      </c>
      <c r="H1383" t="s">
        <v>3905</v>
      </c>
    </row>
    <row r="1384" spans="2:8" x14ac:dyDescent="0.55000000000000004">
      <c r="B1384" s="7"/>
      <c r="D1384" t="s">
        <v>3916</v>
      </c>
      <c r="E1384">
        <v>5</v>
      </c>
      <c r="F1384" t="s">
        <v>3917</v>
      </c>
      <c r="G1384" t="s">
        <v>3908</v>
      </c>
      <c r="H1384" t="s">
        <v>3905</v>
      </c>
    </row>
    <row r="1385" spans="2:8" x14ac:dyDescent="0.55000000000000004">
      <c r="B1385" s="7"/>
      <c r="D1385" t="s">
        <v>3918</v>
      </c>
      <c r="E1385">
        <v>6</v>
      </c>
      <c r="F1385" t="s">
        <v>3902</v>
      </c>
      <c r="G1385" t="s">
        <v>3908</v>
      </c>
      <c r="H1385" t="s">
        <v>3905</v>
      </c>
    </row>
    <row r="1386" spans="2:8" x14ac:dyDescent="0.55000000000000004">
      <c r="B1386" s="7"/>
      <c r="D1386" t="s">
        <v>3919</v>
      </c>
      <c r="E1386">
        <v>7</v>
      </c>
      <c r="F1386" t="s">
        <v>3920</v>
      </c>
      <c r="G1386" t="s">
        <v>3908</v>
      </c>
      <c r="H1386" t="s">
        <v>3905</v>
      </c>
    </row>
    <row r="1387" spans="2:8" x14ac:dyDescent="0.55000000000000004">
      <c r="B1387" s="7"/>
      <c r="D1387" t="s">
        <v>3921</v>
      </c>
      <c r="E1387">
        <v>8</v>
      </c>
      <c r="F1387" t="s">
        <v>3922</v>
      </c>
      <c r="G1387" t="s">
        <v>3908</v>
      </c>
      <c r="H1387" t="s">
        <v>3905</v>
      </c>
    </row>
    <row r="1388" spans="2:8" x14ac:dyDescent="0.55000000000000004">
      <c r="B1388" s="7"/>
      <c r="D1388" t="s">
        <v>3923</v>
      </c>
      <c r="E1388">
        <v>9</v>
      </c>
      <c r="F1388" t="s">
        <v>3924</v>
      </c>
      <c r="G1388" t="s">
        <v>3908</v>
      </c>
      <c r="H1388" t="s">
        <v>3905</v>
      </c>
    </row>
    <row r="1389" spans="2:8" x14ac:dyDescent="0.55000000000000004">
      <c r="B1389" s="7"/>
      <c r="D1389" t="s">
        <v>3925</v>
      </c>
      <c r="E1389">
        <v>10</v>
      </c>
      <c r="F1389" t="s">
        <v>3926</v>
      </c>
      <c r="G1389" t="s">
        <v>3908</v>
      </c>
      <c r="H1389" t="s">
        <v>3905</v>
      </c>
    </row>
    <row r="1390" spans="2:8" x14ac:dyDescent="0.55000000000000004">
      <c r="B1390" s="7"/>
      <c r="D1390" t="s">
        <v>3927</v>
      </c>
      <c r="E1390">
        <v>11</v>
      </c>
      <c r="F1390" t="s">
        <v>3928</v>
      </c>
      <c r="G1390" t="s">
        <v>3908</v>
      </c>
      <c r="H1390" t="s">
        <v>3905</v>
      </c>
    </row>
    <row r="1391" spans="2:8" x14ac:dyDescent="0.55000000000000004">
      <c r="B1391" s="7"/>
      <c r="D1391" t="s">
        <v>3930</v>
      </c>
      <c r="E1391">
        <v>1</v>
      </c>
      <c r="F1391" t="s">
        <v>3931</v>
      </c>
      <c r="G1391" t="s">
        <v>3908</v>
      </c>
      <c r="H1391" t="s">
        <v>3929</v>
      </c>
    </row>
    <row r="1392" spans="2:8" x14ac:dyDescent="0.55000000000000004">
      <c r="B1392" s="7"/>
      <c r="D1392" t="s">
        <v>3932</v>
      </c>
      <c r="E1392">
        <v>2</v>
      </c>
      <c r="F1392" t="s">
        <v>3933</v>
      </c>
      <c r="G1392" t="s">
        <v>3908</v>
      </c>
      <c r="H1392" t="s">
        <v>3929</v>
      </c>
    </row>
    <row r="1393" spans="2:8" x14ac:dyDescent="0.55000000000000004">
      <c r="B1393" s="7"/>
      <c r="D1393" t="s">
        <v>3934</v>
      </c>
      <c r="E1393">
        <v>3</v>
      </c>
      <c r="F1393" t="s">
        <v>3935</v>
      </c>
      <c r="G1393" t="s">
        <v>3908</v>
      </c>
      <c r="H1393" t="s">
        <v>3929</v>
      </c>
    </row>
    <row r="1394" spans="2:8" x14ac:dyDescent="0.55000000000000004">
      <c r="B1394" s="7"/>
      <c r="D1394" t="s">
        <v>3936</v>
      </c>
      <c r="E1394">
        <v>4</v>
      </c>
      <c r="F1394" t="s">
        <v>3937</v>
      </c>
      <c r="G1394" t="s">
        <v>3908</v>
      </c>
      <c r="H1394" t="s">
        <v>3929</v>
      </c>
    </row>
    <row r="1395" spans="2:8" x14ac:dyDescent="0.55000000000000004">
      <c r="B1395" s="7"/>
      <c r="D1395" t="s">
        <v>3939</v>
      </c>
      <c r="E1395">
        <v>0</v>
      </c>
      <c r="F1395" t="s">
        <v>3940</v>
      </c>
      <c r="G1395" t="s">
        <v>3908</v>
      </c>
      <c r="H1395" t="s">
        <v>3938</v>
      </c>
    </row>
    <row r="1396" spans="2:8" x14ac:dyDescent="0.55000000000000004">
      <c r="B1396" s="7"/>
      <c r="D1396" t="s">
        <v>3941</v>
      </c>
      <c r="E1396">
        <v>1</v>
      </c>
      <c r="F1396" t="s">
        <v>3942</v>
      </c>
      <c r="G1396" t="s">
        <v>3908</v>
      </c>
      <c r="H1396" t="s">
        <v>3938</v>
      </c>
    </row>
    <row r="1397" spans="2:8" x14ac:dyDescent="0.55000000000000004">
      <c r="B1397" s="7"/>
      <c r="D1397" t="s">
        <v>3943</v>
      </c>
      <c r="E1397">
        <v>2</v>
      </c>
      <c r="F1397" t="s">
        <v>3944</v>
      </c>
      <c r="G1397" t="s">
        <v>3908</v>
      </c>
      <c r="H1397" t="s">
        <v>3938</v>
      </c>
    </row>
    <row r="1398" spans="2:8" x14ac:dyDescent="0.55000000000000004">
      <c r="B1398" s="7"/>
      <c r="D1398" t="s">
        <v>3946</v>
      </c>
      <c r="E1398">
        <v>0</v>
      </c>
      <c r="F1398" t="s">
        <v>3947</v>
      </c>
      <c r="G1398" t="s">
        <v>3948</v>
      </c>
      <c r="H1398" t="s">
        <v>3945</v>
      </c>
    </row>
    <row r="1399" spans="2:8" x14ac:dyDescent="0.55000000000000004">
      <c r="B1399" s="7"/>
      <c r="D1399" t="s">
        <v>3949</v>
      </c>
      <c r="E1399">
        <v>1</v>
      </c>
      <c r="F1399" t="s">
        <v>3950</v>
      </c>
      <c r="G1399" t="s">
        <v>3948</v>
      </c>
      <c r="H1399" t="s">
        <v>3945</v>
      </c>
    </row>
    <row r="1400" spans="2:8" x14ac:dyDescent="0.55000000000000004">
      <c r="B1400" s="7"/>
      <c r="D1400" t="s">
        <v>3951</v>
      </c>
      <c r="E1400">
        <v>2</v>
      </c>
      <c r="F1400" t="s">
        <v>3952</v>
      </c>
      <c r="G1400" t="s">
        <v>3948</v>
      </c>
      <c r="H1400" t="s">
        <v>3945</v>
      </c>
    </row>
    <row r="1401" spans="2:8" x14ac:dyDescent="0.55000000000000004">
      <c r="B1401" s="7"/>
      <c r="D1401" t="s">
        <v>3954</v>
      </c>
      <c r="E1401">
        <v>0</v>
      </c>
      <c r="F1401" t="s">
        <v>3955</v>
      </c>
      <c r="G1401" t="s">
        <v>3948</v>
      </c>
      <c r="H1401" t="s">
        <v>3953</v>
      </c>
    </row>
    <row r="1402" spans="2:8" x14ac:dyDescent="0.55000000000000004">
      <c r="B1402" s="7"/>
      <c r="D1402" t="s">
        <v>3956</v>
      </c>
      <c r="E1402">
        <v>1</v>
      </c>
      <c r="F1402" t="s">
        <v>3957</v>
      </c>
      <c r="G1402" t="s">
        <v>3948</v>
      </c>
      <c r="H1402" t="s">
        <v>3953</v>
      </c>
    </row>
    <row r="1403" spans="2:8" x14ac:dyDescent="0.55000000000000004">
      <c r="B1403" s="7"/>
      <c r="D1403" t="s">
        <v>3958</v>
      </c>
      <c r="E1403">
        <v>2</v>
      </c>
      <c r="F1403" t="s">
        <v>3959</v>
      </c>
      <c r="G1403" t="s">
        <v>3948</v>
      </c>
      <c r="H1403" t="s">
        <v>3953</v>
      </c>
    </row>
    <row r="1404" spans="2:8" x14ac:dyDescent="0.55000000000000004">
      <c r="B1404" s="7"/>
      <c r="D1404" t="s">
        <v>3960</v>
      </c>
      <c r="E1404">
        <v>3</v>
      </c>
      <c r="F1404" t="s">
        <v>3961</v>
      </c>
      <c r="G1404" t="s">
        <v>3948</v>
      </c>
      <c r="H1404" t="s">
        <v>3953</v>
      </c>
    </row>
    <row r="1405" spans="2:8" x14ac:dyDescent="0.55000000000000004">
      <c r="B1405" s="7"/>
      <c r="D1405" t="s">
        <v>3962</v>
      </c>
      <c r="E1405">
        <v>4</v>
      </c>
      <c r="F1405" t="s">
        <v>3963</v>
      </c>
      <c r="G1405" t="s">
        <v>3948</v>
      </c>
      <c r="H1405" t="s">
        <v>3953</v>
      </c>
    </row>
    <row r="1406" spans="2:8" x14ac:dyDescent="0.55000000000000004">
      <c r="B1406" s="7"/>
      <c r="D1406" t="s">
        <v>3964</v>
      </c>
      <c r="E1406">
        <v>0</v>
      </c>
      <c r="F1406" t="s">
        <v>3965</v>
      </c>
      <c r="G1406" t="s">
        <v>3948</v>
      </c>
      <c r="H1406" t="s">
        <v>3966</v>
      </c>
    </row>
    <row r="1407" spans="2:8" x14ac:dyDescent="0.55000000000000004">
      <c r="B1407" s="7"/>
      <c r="D1407" t="s">
        <v>3967</v>
      </c>
      <c r="E1407">
        <v>0</v>
      </c>
      <c r="F1407" t="s">
        <v>3968</v>
      </c>
      <c r="G1407" t="s">
        <v>3948</v>
      </c>
      <c r="H1407" t="s">
        <v>3969</v>
      </c>
    </row>
    <row r="1408" spans="2:8" x14ac:dyDescent="0.55000000000000004">
      <c r="B1408" s="7"/>
      <c r="D1408" t="s">
        <v>3970</v>
      </c>
      <c r="E1408">
        <v>0</v>
      </c>
      <c r="F1408" t="s">
        <v>3971</v>
      </c>
      <c r="G1408" t="s">
        <v>3948</v>
      </c>
      <c r="H1408" t="s">
        <v>3972</v>
      </c>
    </row>
    <row r="1409" spans="2:8" x14ac:dyDescent="0.55000000000000004">
      <c r="B1409" s="7"/>
      <c r="D1409" t="s">
        <v>3973</v>
      </c>
      <c r="E1409">
        <v>0</v>
      </c>
      <c r="F1409" t="s">
        <v>3974</v>
      </c>
      <c r="G1409" t="s">
        <v>3948</v>
      </c>
      <c r="H1409" t="s">
        <v>3975</v>
      </c>
    </row>
    <row r="1410" spans="2:8" x14ac:dyDescent="0.55000000000000004">
      <c r="B1410" s="7"/>
      <c r="D1410" t="s">
        <v>3976</v>
      </c>
      <c r="E1410">
        <v>0</v>
      </c>
      <c r="F1410" t="s">
        <v>3977</v>
      </c>
      <c r="G1410" t="s">
        <v>3978</v>
      </c>
      <c r="H1410" t="s">
        <v>3979</v>
      </c>
    </row>
    <row r="1411" spans="2:8" x14ac:dyDescent="0.55000000000000004">
      <c r="B1411" s="7"/>
      <c r="D1411" t="s">
        <v>3980</v>
      </c>
      <c r="E1411">
        <v>0</v>
      </c>
      <c r="F1411" t="s">
        <v>3981</v>
      </c>
      <c r="G1411" t="s">
        <v>3982</v>
      </c>
      <c r="H1411" t="s">
        <v>3983</v>
      </c>
    </row>
    <row r="1412" spans="2:8" x14ac:dyDescent="0.55000000000000004">
      <c r="B1412" s="7"/>
      <c r="D1412" t="s">
        <v>3984</v>
      </c>
      <c r="E1412">
        <v>0</v>
      </c>
      <c r="F1412" t="s">
        <v>3985</v>
      </c>
      <c r="G1412" t="s">
        <v>3986</v>
      </c>
      <c r="H1412" t="s">
        <v>3987</v>
      </c>
    </row>
    <row r="1413" spans="2:8" x14ac:dyDescent="0.55000000000000004">
      <c r="B1413" s="7"/>
      <c r="D1413" t="s">
        <v>3988</v>
      </c>
      <c r="E1413">
        <v>0</v>
      </c>
      <c r="F1413" t="s">
        <v>3858</v>
      </c>
      <c r="G1413" t="s">
        <v>3989</v>
      </c>
      <c r="H1413" t="s">
        <v>3990</v>
      </c>
    </row>
    <row r="1414" spans="2:8" x14ac:dyDescent="0.55000000000000004">
      <c r="B1414" s="7"/>
      <c r="D1414" t="s">
        <v>3991</v>
      </c>
      <c r="E1414">
        <v>0</v>
      </c>
      <c r="F1414" t="s">
        <v>3992</v>
      </c>
      <c r="G1414" t="s">
        <v>3993</v>
      </c>
      <c r="H1414" t="s">
        <v>3994</v>
      </c>
    </row>
    <row r="1415" spans="2:8" x14ac:dyDescent="0.55000000000000004">
      <c r="B1415" s="7"/>
      <c r="D1415" t="s">
        <v>3995</v>
      </c>
      <c r="E1415">
        <v>0</v>
      </c>
      <c r="F1415" t="s">
        <v>3996</v>
      </c>
      <c r="G1415" t="s">
        <v>3997</v>
      </c>
      <c r="H1415" t="s">
        <v>3998</v>
      </c>
    </row>
    <row r="1416" spans="2:8" x14ac:dyDescent="0.55000000000000004">
      <c r="B1416" s="7"/>
      <c r="D1416" t="s">
        <v>3999</v>
      </c>
      <c r="E1416">
        <v>0</v>
      </c>
      <c r="F1416" t="s">
        <v>4000</v>
      </c>
      <c r="G1416" t="s">
        <v>4001</v>
      </c>
      <c r="H1416" t="s">
        <v>4002</v>
      </c>
    </row>
    <row r="1417" spans="2:8" x14ac:dyDescent="0.55000000000000004">
      <c r="B1417" s="7"/>
      <c r="D1417" t="s">
        <v>4003</v>
      </c>
      <c r="E1417">
        <v>0</v>
      </c>
      <c r="F1417" t="s">
        <v>4004</v>
      </c>
      <c r="G1417" t="s">
        <v>4005</v>
      </c>
      <c r="H1417" t="s">
        <v>4006</v>
      </c>
    </row>
    <row r="1418" spans="2:8" x14ac:dyDescent="0.55000000000000004">
      <c r="B1418" s="7"/>
      <c r="D1418" t="s">
        <v>4007</v>
      </c>
      <c r="E1418">
        <v>0</v>
      </c>
      <c r="F1418" t="s">
        <v>4008</v>
      </c>
      <c r="G1418" t="s">
        <v>4009</v>
      </c>
      <c r="H1418" t="s">
        <v>4010</v>
      </c>
    </row>
    <row r="1419" spans="2:8" x14ac:dyDescent="0.55000000000000004">
      <c r="B1419" s="7"/>
      <c r="D1419" t="s">
        <v>4011</v>
      </c>
      <c r="E1419">
        <v>0</v>
      </c>
      <c r="F1419" t="s">
        <v>4012</v>
      </c>
      <c r="G1419" t="s">
        <v>4013</v>
      </c>
      <c r="H1419" t="s">
        <v>4014</v>
      </c>
    </row>
    <row r="1420" spans="2:8" x14ac:dyDescent="0.55000000000000004">
      <c r="B1420" s="7"/>
      <c r="D1420" t="s">
        <v>4015</v>
      </c>
      <c r="E1420">
        <v>0</v>
      </c>
      <c r="F1420" t="s">
        <v>4016</v>
      </c>
      <c r="G1420" t="s">
        <v>4017</v>
      </c>
      <c r="H1420" t="s">
        <v>4018</v>
      </c>
    </row>
    <row r="1421" spans="2:8" x14ac:dyDescent="0.55000000000000004">
      <c r="B1421" s="7"/>
      <c r="D1421" t="s">
        <v>4019</v>
      </c>
      <c r="E1421">
        <v>0</v>
      </c>
      <c r="F1421" t="s">
        <v>4020</v>
      </c>
      <c r="G1421" t="s">
        <v>4021</v>
      </c>
      <c r="H1421" t="s">
        <v>4022</v>
      </c>
    </row>
    <row r="1422" spans="2:8" x14ac:dyDescent="0.55000000000000004">
      <c r="B1422" s="7"/>
      <c r="D1422" t="s">
        <v>4023</v>
      </c>
      <c r="E1422">
        <v>0</v>
      </c>
      <c r="F1422" t="s">
        <v>4024</v>
      </c>
      <c r="G1422" t="s">
        <v>4025</v>
      </c>
      <c r="H1422" t="s">
        <v>4026</v>
      </c>
    </row>
    <row r="1423" spans="2:8" x14ac:dyDescent="0.55000000000000004">
      <c r="B1423" s="7"/>
      <c r="D1423" t="s">
        <v>4027</v>
      </c>
      <c r="E1423">
        <v>0</v>
      </c>
      <c r="F1423" t="s">
        <v>4028</v>
      </c>
      <c r="G1423" t="s">
        <v>4029</v>
      </c>
      <c r="H1423" t="s">
        <v>4030</v>
      </c>
    </row>
    <row r="1424" spans="2:8" x14ac:dyDescent="0.55000000000000004">
      <c r="B1424" s="7"/>
      <c r="D1424" t="s">
        <v>4031</v>
      </c>
      <c r="E1424">
        <v>0</v>
      </c>
      <c r="F1424" t="s">
        <v>4032</v>
      </c>
      <c r="G1424" t="s">
        <v>4033</v>
      </c>
      <c r="H1424" t="s">
        <v>4034</v>
      </c>
    </row>
    <row r="1425" spans="2:8" x14ac:dyDescent="0.55000000000000004">
      <c r="B1425" s="7"/>
      <c r="D1425" t="s">
        <v>4035</v>
      </c>
      <c r="E1425">
        <v>0</v>
      </c>
      <c r="F1425" t="s">
        <v>4036</v>
      </c>
      <c r="G1425" t="s">
        <v>4037</v>
      </c>
      <c r="H1425" t="s">
        <v>4038</v>
      </c>
    </row>
    <row r="1426" spans="2:8" x14ac:dyDescent="0.55000000000000004">
      <c r="B1426" s="7"/>
      <c r="D1426" t="s">
        <v>4039</v>
      </c>
      <c r="E1426">
        <v>0</v>
      </c>
      <c r="F1426" t="s">
        <v>4040</v>
      </c>
      <c r="G1426" t="s">
        <v>4041</v>
      </c>
      <c r="H1426" t="s">
        <v>4042</v>
      </c>
    </row>
    <row r="1427" spans="2:8" x14ac:dyDescent="0.55000000000000004">
      <c r="B1427" s="7"/>
      <c r="D1427" t="s">
        <v>4043</v>
      </c>
      <c r="E1427">
        <v>0</v>
      </c>
      <c r="F1427" t="s">
        <v>4044</v>
      </c>
      <c r="G1427" t="s">
        <v>4045</v>
      </c>
      <c r="H1427" t="s">
        <v>4046</v>
      </c>
    </row>
    <row r="1428" spans="2:8" x14ac:dyDescent="0.55000000000000004">
      <c r="B1428" s="7"/>
      <c r="D1428" t="s">
        <v>4047</v>
      </c>
      <c r="E1428">
        <v>0</v>
      </c>
      <c r="F1428" t="s">
        <v>4048</v>
      </c>
      <c r="G1428" t="s">
        <v>4049</v>
      </c>
      <c r="H1428" t="s">
        <v>4050</v>
      </c>
    </row>
    <row r="1429" spans="2:8" x14ac:dyDescent="0.55000000000000004">
      <c r="B1429" s="7"/>
      <c r="D1429" t="s">
        <v>4051</v>
      </c>
      <c r="E1429">
        <v>0</v>
      </c>
      <c r="F1429" t="s">
        <v>4052</v>
      </c>
      <c r="G1429" t="s">
        <v>4053</v>
      </c>
      <c r="H1429" t="s">
        <v>4054</v>
      </c>
    </row>
    <row r="1430" spans="2:8" x14ac:dyDescent="0.55000000000000004">
      <c r="B1430" s="7"/>
      <c r="D1430" t="s">
        <v>4055</v>
      </c>
      <c r="E1430">
        <v>0</v>
      </c>
      <c r="F1430" t="s">
        <v>4056</v>
      </c>
      <c r="G1430" t="s">
        <v>4057</v>
      </c>
      <c r="H1430" t="s">
        <v>4058</v>
      </c>
    </row>
    <row r="1431" spans="2:8" x14ac:dyDescent="0.55000000000000004">
      <c r="B1431" s="7"/>
      <c r="D1431" t="s">
        <v>4059</v>
      </c>
      <c r="E1431">
        <v>0</v>
      </c>
      <c r="F1431" t="s">
        <v>4060</v>
      </c>
      <c r="G1431" t="s">
        <v>4061</v>
      </c>
      <c r="H1431" t="s">
        <v>4062</v>
      </c>
    </row>
    <row r="1432" spans="2:8" x14ac:dyDescent="0.55000000000000004">
      <c r="B1432" s="7"/>
      <c r="D1432" t="s">
        <v>4063</v>
      </c>
      <c r="E1432">
        <v>0</v>
      </c>
      <c r="F1432" t="s">
        <v>4064</v>
      </c>
      <c r="G1432" t="s">
        <v>4065</v>
      </c>
      <c r="H1432" t="s">
        <v>4066</v>
      </c>
    </row>
    <row r="1433" spans="2:8" x14ac:dyDescent="0.55000000000000004">
      <c r="B1433" s="7"/>
      <c r="D1433" t="s">
        <v>4067</v>
      </c>
      <c r="E1433">
        <v>0</v>
      </c>
      <c r="F1433" t="s">
        <v>4068</v>
      </c>
      <c r="G1433" t="s">
        <v>4069</v>
      </c>
      <c r="H1433" t="s">
        <v>4070</v>
      </c>
    </row>
    <row r="1434" spans="2:8" x14ac:dyDescent="0.55000000000000004">
      <c r="B1434" s="7"/>
      <c r="D1434" t="s">
        <v>4071</v>
      </c>
      <c r="E1434">
        <v>0</v>
      </c>
      <c r="F1434" t="s">
        <v>4072</v>
      </c>
      <c r="G1434" t="s">
        <v>4073</v>
      </c>
      <c r="H1434" t="s">
        <v>4074</v>
      </c>
    </row>
    <row r="1435" spans="2:8" x14ac:dyDescent="0.55000000000000004">
      <c r="B1435" s="7"/>
      <c r="D1435" t="s">
        <v>4075</v>
      </c>
      <c r="E1435">
        <v>0</v>
      </c>
      <c r="F1435" t="s">
        <v>4076</v>
      </c>
      <c r="G1435" t="s">
        <v>4077</v>
      </c>
      <c r="H1435" t="s">
        <v>4078</v>
      </c>
    </row>
    <row r="1436" spans="2:8" x14ac:dyDescent="0.55000000000000004">
      <c r="B1436" s="7"/>
      <c r="D1436" t="s">
        <v>4079</v>
      </c>
      <c r="E1436">
        <v>0</v>
      </c>
      <c r="F1436" t="s">
        <v>4080</v>
      </c>
      <c r="G1436" t="s">
        <v>4081</v>
      </c>
      <c r="H1436" t="s">
        <v>4082</v>
      </c>
    </row>
    <row r="1437" spans="2:8" x14ac:dyDescent="0.55000000000000004">
      <c r="B1437" s="7"/>
      <c r="D1437" t="s">
        <v>4083</v>
      </c>
      <c r="E1437">
        <v>0</v>
      </c>
      <c r="F1437" t="s">
        <v>4084</v>
      </c>
      <c r="G1437" t="s">
        <v>4085</v>
      </c>
      <c r="H1437" t="s">
        <v>4086</v>
      </c>
    </row>
    <row r="1438" spans="2:8" x14ac:dyDescent="0.55000000000000004">
      <c r="B1438" s="7"/>
      <c r="D1438" t="s">
        <v>4087</v>
      </c>
      <c r="E1438">
        <v>0</v>
      </c>
      <c r="F1438" t="s">
        <v>4088</v>
      </c>
      <c r="G1438" t="s">
        <v>4089</v>
      </c>
      <c r="H1438" t="s">
        <v>4090</v>
      </c>
    </row>
    <row r="1439" spans="2:8" x14ac:dyDescent="0.55000000000000004">
      <c r="B1439" s="7"/>
      <c r="D1439" t="s">
        <v>4091</v>
      </c>
      <c r="E1439">
        <v>0</v>
      </c>
      <c r="F1439" t="s">
        <v>4092</v>
      </c>
      <c r="G1439" t="s">
        <v>4093</v>
      </c>
      <c r="H1439" t="s">
        <v>4094</v>
      </c>
    </row>
    <row r="1440" spans="2:8" x14ac:dyDescent="0.55000000000000004">
      <c r="B1440" s="7"/>
      <c r="D1440" t="s">
        <v>4095</v>
      </c>
      <c r="E1440">
        <v>0</v>
      </c>
      <c r="F1440" t="s">
        <v>4096</v>
      </c>
      <c r="G1440" t="s">
        <v>4097</v>
      </c>
      <c r="H1440" t="s">
        <v>4098</v>
      </c>
    </row>
    <row r="1441" spans="2:8" x14ac:dyDescent="0.55000000000000004">
      <c r="B1441" s="7"/>
      <c r="D1441" t="s">
        <v>4099</v>
      </c>
      <c r="E1441">
        <v>0</v>
      </c>
      <c r="F1441" t="s">
        <v>4100</v>
      </c>
      <c r="G1441" t="s">
        <v>4101</v>
      </c>
      <c r="H1441" t="s">
        <v>4102</v>
      </c>
    </row>
    <row r="1442" spans="2:8" x14ac:dyDescent="0.55000000000000004">
      <c r="B1442" s="7"/>
      <c r="D1442" t="s">
        <v>4103</v>
      </c>
      <c r="E1442">
        <v>0</v>
      </c>
      <c r="F1442" t="s">
        <v>1274</v>
      </c>
      <c r="G1442" t="s">
        <v>4104</v>
      </c>
      <c r="H1442" t="s">
        <v>4105</v>
      </c>
    </row>
    <row r="1443" spans="2:8" x14ac:dyDescent="0.55000000000000004">
      <c r="B1443" s="7"/>
      <c r="D1443" t="s">
        <v>4106</v>
      </c>
      <c r="E1443">
        <v>0</v>
      </c>
      <c r="F1443" t="s">
        <v>4107</v>
      </c>
      <c r="G1443" t="s">
        <v>4108</v>
      </c>
      <c r="H1443" t="s">
        <v>4109</v>
      </c>
    </row>
    <row r="1444" spans="2:8" x14ac:dyDescent="0.55000000000000004">
      <c r="B1444" s="7"/>
      <c r="D1444" t="s">
        <v>4110</v>
      </c>
      <c r="E1444">
        <v>0</v>
      </c>
      <c r="F1444" t="s">
        <v>4111</v>
      </c>
      <c r="G1444" t="s">
        <v>4112</v>
      </c>
      <c r="H1444" t="s">
        <v>4113</v>
      </c>
    </row>
    <row r="1445" spans="2:8" x14ac:dyDescent="0.55000000000000004">
      <c r="B1445" s="7"/>
      <c r="D1445" t="s">
        <v>4114</v>
      </c>
      <c r="E1445">
        <v>0</v>
      </c>
      <c r="F1445" t="s">
        <v>4115</v>
      </c>
      <c r="G1445" t="s">
        <v>4116</v>
      </c>
      <c r="H1445" t="s">
        <v>4117</v>
      </c>
    </row>
    <row r="1446" spans="2:8" x14ac:dyDescent="0.55000000000000004">
      <c r="B1446" s="7"/>
      <c r="D1446" t="s">
        <v>4122</v>
      </c>
      <c r="E1446">
        <v>0</v>
      </c>
      <c r="F1446" t="s">
        <v>4123</v>
      </c>
      <c r="G1446" t="s">
        <v>4124</v>
      </c>
      <c r="H1446" t="s">
        <v>4125</v>
      </c>
    </row>
    <row r="1447" spans="2:8" x14ac:dyDescent="0.55000000000000004">
      <c r="B1447" s="7"/>
      <c r="D1447" t="s">
        <v>4126</v>
      </c>
      <c r="E1447">
        <v>0</v>
      </c>
      <c r="F1447" t="s">
        <v>4127</v>
      </c>
      <c r="G1447" t="s">
        <v>4128</v>
      </c>
      <c r="H1447" t="s">
        <v>4129</v>
      </c>
    </row>
    <row r="1448" spans="2:8" x14ac:dyDescent="0.55000000000000004">
      <c r="B1448" s="7"/>
      <c r="D1448" t="s">
        <v>4130</v>
      </c>
      <c r="E1448">
        <v>0</v>
      </c>
      <c r="F1448" t="s">
        <v>4131</v>
      </c>
      <c r="G1448" t="s">
        <v>4132</v>
      </c>
      <c r="H1448" t="s">
        <v>4133</v>
      </c>
    </row>
    <row r="1449" spans="2:8" x14ac:dyDescent="0.55000000000000004">
      <c r="B1449" s="7"/>
      <c r="D1449" t="s">
        <v>4134</v>
      </c>
      <c r="E1449">
        <v>0</v>
      </c>
      <c r="F1449" t="s">
        <v>4135</v>
      </c>
      <c r="G1449" t="s">
        <v>4136</v>
      </c>
      <c r="H1449" t="s">
        <v>4137</v>
      </c>
    </row>
    <row r="1450" spans="2:8" x14ac:dyDescent="0.55000000000000004">
      <c r="B1450" s="7"/>
      <c r="D1450" t="s">
        <v>4138</v>
      </c>
      <c r="E1450">
        <v>0</v>
      </c>
      <c r="F1450" t="s">
        <v>4139</v>
      </c>
      <c r="G1450" t="s">
        <v>4140</v>
      </c>
      <c r="H1450" t="s">
        <v>4141</v>
      </c>
    </row>
    <row r="1451" spans="2:8" x14ac:dyDescent="0.55000000000000004">
      <c r="B1451" s="7"/>
      <c r="D1451" t="s">
        <v>4142</v>
      </c>
      <c r="E1451">
        <v>0</v>
      </c>
      <c r="F1451" t="s">
        <v>4143</v>
      </c>
      <c r="G1451" t="s">
        <v>4144</v>
      </c>
      <c r="H1451" t="s">
        <v>4145</v>
      </c>
    </row>
    <row r="1452" spans="2:8" x14ac:dyDescent="0.55000000000000004">
      <c r="B1452" s="7"/>
      <c r="D1452" t="s">
        <v>4146</v>
      </c>
      <c r="E1452">
        <v>0</v>
      </c>
      <c r="F1452" t="s">
        <v>4147</v>
      </c>
      <c r="G1452" t="s">
        <v>4148</v>
      </c>
      <c r="H1452" t="s">
        <v>4149</v>
      </c>
    </row>
    <row r="1453" spans="2:8" x14ac:dyDescent="0.55000000000000004">
      <c r="B1453" s="7"/>
      <c r="D1453" t="s">
        <v>4150</v>
      </c>
      <c r="E1453">
        <v>0</v>
      </c>
      <c r="F1453" t="s">
        <v>4151</v>
      </c>
      <c r="G1453" t="s">
        <v>4152</v>
      </c>
      <c r="H1453" t="s">
        <v>4153</v>
      </c>
    </row>
    <row r="1454" spans="2:8" x14ac:dyDescent="0.55000000000000004">
      <c r="B1454" s="7"/>
      <c r="D1454" t="s">
        <v>4154</v>
      </c>
      <c r="E1454">
        <v>0</v>
      </c>
      <c r="F1454" t="s">
        <v>4155</v>
      </c>
      <c r="G1454" t="s">
        <v>4156</v>
      </c>
      <c r="H1454" t="s">
        <v>4157</v>
      </c>
    </row>
    <row r="1455" spans="2:8" x14ac:dyDescent="0.55000000000000004">
      <c r="B1455" s="7"/>
      <c r="D1455" t="s">
        <v>4158</v>
      </c>
      <c r="E1455">
        <v>0</v>
      </c>
      <c r="F1455" t="s">
        <v>1027</v>
      </c>
      <c r="G1455" t="s">
        <v>4159</v>
      </c>
      <c r="H1455" t="s">
        <v>4160</v>
      </c>
    </row>
    <row r="1456" spans="2:8" x14ac:dyDescent="0.55000000000000004">
      <c r="B1456" s="7"/>
      <c r="D1456" t="s">
        <v>4161</v>
      </c>
      <c r="E1456">
        <v>0</v>
      </c>
      <c r="F1456" t="s">
        <v>4162</v>
      </c>
      <c r="G1456" t="s">
        <v>4163</v>
      </c>
      <c r="H1456" t="s">
        <v>4164</v>
      </c>
    </row>
    <row r="1457" spans="2:8" x14ac:dyDescent="0.55000000000000004">
      <c r="B1457" s="7"/>
      <c r="D1457" t="s">
        <v>4165</v>
      </c>
      <c r="E1457">
        <v>0</v>
      </c>
      <c r="F1457" t="s">
        <v>4166</v>
      </c>
      <c r="G1457" t="s">
        <v>4167</v>
      </c>
      <c r="H1457" t="s">
        <v>4168</v>
      </c>
    </row>
    <row r="1458" spans="2:8" x14ac:dyDescent="0.55000000000000004">
      <c r="B1458" s="7"/>
      <c r="D1458" t="s">
        <v>4169</v>
      </c>
      <c r="E1458">
        <v>0</v>
      </c>
      <c r="F1458" t="s">
        <v>4170</v>
      </c>
      <c r="G1458" t="s">
        <v>4171</v>
      </c>
      <c r="H1458" t="s">
        <v>4172</v>
      </c>
    </row>
    <row r="1459" spans="2:8" x14ac:dyDescent="0.55000000000000004">
      <c r="B1459" s="7"/>
      <c r="D1459" t="s">
        <v>4173</v>
      </c>
      <c r="E1459">
        <v>0</v>
      </c>
      <c r="F1459" t="s">
        <v>4174</v>
      </c>
      <c r="G1459" t="s">
        <v>4175</v>
      </c>
      <c r="H1459" t="s">
        <v>4176</v>
      </c>
    </row>
    <row r="1460" spans="2:8" x14ac:dyDescent="0.55000000000000004">
      <c r="B1460" s="7"/>
      <c r="D1460" t="s">
        <v>4177</v>
      </c>
      <c r="E1460">
        <v>0</v>
      </c>
      <c r="F1460" t="s">
        <v>4178</v>
      </c>
      <c r="G1460" t="s">
        <v>4179</v>
      </c>
      <c r="H1460" t="s">
        <v>4180</v>
      </c>
    </row>
    <row r="1461" spans="2:8" x14ac:dyDescent="0.55000000000000004">
      <c r="B1461" s="7"/>
      <c r="D1461" t="s">
        <v>4181</v>
      </c>
      <c r="E1461">
        <v>0</v>
      </c>
      <c r="F1461" t="s">
        <v>4182</v>
      </c>
      <c r="G1461" t="s">
        <v>4183</v>
      </c>
      <c r="H1461" t="s">
        <v>4184</v>
      </c>
    </row>
    <row r="1462" spans="2:8" x14ac:dyDescent="0.55000000000000004">
      <c r="B1462" s="7"/>
      <c r="D1462" t="s">
        <v>4185</v>
      </c>
      <c r="E1462">
        <v>0</v>
      </c>
      <c r="F1462" t="s">
        <v>4186</v>
      </c>
      <c r="G1462" t="s">
        <v>4187</v>
      </c>
      <c r="H1462" t="s">
        <v>4188</v>
      </c>
    </row>
    <row r="1463" spans="2:8" x14ac:dyDescent="0.55000000000000004">
      <c r="B1463" s="7"/>
      <c r="D1463" t="s">
        <v>4189</v>
      </c>
      <c r="E1463">
        <v>0</v>
      </c>
      <c r="F1463" t="s">
        <v>4190</v>
      </c>
      <c r="G1463" t="s">
        <v>4191</v>
      </c>
      <c r="H1463" t="s">
        <v>4192</v>
      </c>
    </row>
    <row r="1464" spans="2:8" x14ac:dyDescent="0.55000000000000004">
      <c r="B1464" s="7"/>
      <c r="D1464" t="s">
        <v>4193</v>
      </c>
      <c r="E1464">
        <v>0</v>
      </c>
      <c r="F1464" t="s">
        <v>4194</v>
      </c>
      <c r="G1464" t="s">
        <v>4195</v>
      </c>
      <c r="H1464" t="s">
        <v>4196</v>
      </c>
    </row>
    <row r="1465" spans="2:8" x14ac:dyDescent="0.55000000000000004">
      <c r="B1465" s="7"/>
      <c r="D1465" t="s">
        <v>4197</v>
      </c>
      <c r="E1465">
        <v>0</v>
      </c>
      <c r="F1465" t="s">
        <v>4198</v>
      </c>
      <c r="G1465" t="s">
        <v>4199</v>
      </c>
      <c r="H1465" t="s">
        <v>4200</v>
      </c>
    </row>
    <row r="1466" spans="2:8" x14ac:dyDescent="0.55000000000000004">
      <c r="B1466" s="7"/>
      <c r="D1466" t="s">
        <v>4201</v>
      </c>
      <c r="E1466">
        <v>0</v>
      </c>
      <c r="F1466" t="s">
        <v>4202</v>
      </c>
      <c r="G1466" t="s">
        <v>4203</v>
      </c>
      <c r="H1466" t="s">
        <v>4204</v>
      </c>
    </row>
    <row r="1467" spans="2:8" x14ac:dyDescent="0.55000000000000004">
      <c r="B1467" s="7"/>
      <c r="D1467" t="s">
        <v>4205</v>
      </c>
      <c r="E1467">
        <v>0</v>
      </c>
      <c r="F1467" t="s">
        <v>4206</v>
      </c>
      <c r="G1467" t="s">
        <v>4207</v>
      </c>
      <c r="H1467" t="s">
        <v>4208</v>
      </c>
    </row>
    <row r="1468" spans="2:8" x14ac:dyDescent="0.55000000000000004">
      <c r="B1468" s="7"/>
      <c r="D1468" t="s">
        <v>4209</v>
      </c>
      <c r="E1468">
        <v>0</v>
      </c>
      <c r="F1468" t="s">
        <v>4210</v>
      </c>
      <c r="G1468" t="s">
        <v>4211</v>
      </c>
      <c r="H1468" t="s">
        <v>4212</v>
      </c>
    </row>
    <row r="1469" spans="2:8" x14ac:dyDescent="0.55000000000000004">
      <c r="B1469" s="7"/>
      <c r="D1469" t="s">
        <v>4213</v>
      </c>
      <c r="E1469">
        <v>0</v>
      </c>
      <c r="F1469" t="s">
        <v>4214</v>
      </c>
      <c r="G1469" t="s">
        <v>4215</v>
      </c>
      <c r="H1469" t="s">
        <v>4216</v>
      </c>
    </row>
    <row r="1470" spans="2:8" x14ac:dyDescent="0.55000000000000004">
      <c r="B1470" s="7"/>
      <c r="D1470" t="s">
        <v>4217</v>
      </c>
      <c r="E1470">
        <v>0</v>
      </c>
      <c r="F1470" t="s">
        <v>4218</v>
      </c>
      <c r="G1470" t="s">
        <v>4219</v>
      </c>
      <c r="H1470" t="s">
        <v>4220</v>
      </c>
    </row>
    <row r="1471" spans="2:8" x14ac:dyDescent="0.55000000000000004">
      <c r="B1471" s="7"/>
      <c r="D1471" t="s">
        <v>4221</v>
      </c>
      <c r="E1471">
        <v>0</v>
      </c>
      <c r="F1471" t="s">
        <v>4222</v>
      </c>
      <c r="G1471" t="s">
        <v>4223</v>
      </c>
      <c r="H1471" t="s">
        <v>4224</v>
      </c>
    </row>
    <row r="1472" spans="2:8" x14ac:dyDescent="0.55000000000000004">
      <c r="B1472" s="7"/>
      <c r="D1472" t="s">
        <v>4225</v>
      </c>
      <c r="E1472">
        <v>0</v>
      </c>
      <c r="F1472" t="s">
        <v>4226</v>
      </c>
      <c r="G1472" t="s">
        <v>4227</v>
      </c>
      <c r="H1472" t="s">
        <v>4228</v>
      </c>
    </row>
    <row r="1473" spans="2:8" x14ac:dyDescent="0.55000000000000004">
      <c r="B1473" s="7"/>
      <c r="D1473" t="s">
        <v>4229</v>
      </c>
      <c r="E1473">
        <v>0</v>
      </c>
      <c r="F1473" t="s">
        <v>4230</v>
      </c>
      <c r="G1473" t="s">
        <v>4231</v>
      </c>
      <c r="H1473" t="s">
        <v>4232</v>
      </c>
    </row>
    <row r="1474" spans="2:8" x14ac:dyDescent="0.55000000000000004">
      <c r="B1474" s="7"/>
      <c r="D1474" t="s">
        <v>4237</v>
      </c>
      <c r="E1474">
        <v>0</v>
      </c>
      <c r="F1474" t="s">
        <v>4238</v>
      </c>
      <c r="G1474" t="s">
        <v>4239</v>
      </c>
      <c r="H1474" t="s">
        <v>4240</v>
      </c>
    </row>
    <row r="1475" spans="2:8" x14ac:dyDescent="0.55000000000000004">
      <c r="B1475" s="7"/>
      <c r="D1475" t="s">
        <v>4241</v>
      </c>
      <c r="E1475">
        <v>0</v>
      </c>
      <c r="F1475" t="s">
        <v>4242</v>
      </c>
      <c r="G1475" t="s">
        <v>4243</v>
      </c>
      <c r="H1475" t="s">
        <v>4244</v>
      </c>
    </row>
    <row r="1476" spans="2:8" x14ac:dyDescent="0.55000000000000004">
      <c r="B1476" s="7"/>
      <c r="D1476" t="s">
        <v>4245</v>
      </c>
      <c r="E1476">
        <v>0</v>
      </c>
      <c r="F1476" t="s">
        <v>4246</v>
      </c>
      <c r="G1476" t="s">
        <v>4247</v>
      </c>
      <c r="H1476" t="s">
        <v>4248</v>
      </c>
    </row>
    <row r="1477" spans="2:8" x14ac:dyDescent="0.55000000000000004">
      <c r="B1477" s="7"/>
      <c r="D1477" t="s">
        <v>4249</v>
      </c>
      <c r="E1477">
        <v>0</v>
      </c>
      <c r="F1477" t="s">
        <v>4250</v>
      </c>
      <c r="G1477" t="s">
        <v>4251</v>
      </c>
      <c r="H1477" t="s">
        <v>4252</v>
      </c>
    </row>
    <row r="1478" spans="2:8" x14ac:dyDescent="0.55000000000000004">
      <c r="B1478" s="7"/>
      <c r="D1478" t="s">
        <v>4253</v>
      </c>
      <c r="E1478">
        <v>0</v>
      </c>
      <c r="F1478" t="s">
        <v>4254</v>
      </c>
      <c r="G1478" t="s">
        <v>4255</v>
      </c>
      <c r="H1478" t="s">
        <v>4256</v>
      </c>
    </row>
    <row r="1479" spans="2:8" x14ac:dyDescent="0.55000000000000004">
      <c r="B1479" s="7"/>
      <c r="D1479" t="s">
        <v>4257</v>
      </c>
      <c r="E1479">
        <v>0</v>
      </c>
      <c r="F1479" t="s">
        <v>4258</v>
      </c>
      <c r="G1479" t="s">
        <v>4259</v>
      </c>
      <c r="H1479" t="s">
        <v>4260</v>
      </c>
    </row>
    <row r="1480" spans="2:8" x14ac:dyDescent="0.55000000000000004">
      <c r="B1480" s="7"/>
      <c r="D1480" t="s">
        <v>4261</v>
      </c>
      <c r="E1480">
        <v>0</v>
      </c>
      <c r="F1480" t="s">
        <v>4262</v>
      </c>
      <c r="G1480" t="s">
        <v>4263</v>
      </c>
      <c r="H1480" t="s">
        <v>4264</v>
      </c>
    </row>
    <row r="1481" spans="2:8" x14ac:dyDescent="0.55000000000000004">
      <c r="B1481" s="7"/>
      <c r="D1481" t="s">
        <v>4265</v>
      </c>
      <c r="E1481">
        <v>0</v>
      </c>
      <c r="F1481" t="s">
        <v>4266</v>
      </c>
      <c r="G1481" t="s">
        <v>4267</v>
      </c>
      <c r="H1481" t="s">
        <v>4268</v>
      </c>
    </row>
    <row r="1482" spans="2:8" x14ac:dyDescent="0.55000000000000004">
      <c r="B1482" s="7"/>
      <c r="D1482" t="s">
        <v>4269</v>
      </c>
      <c r="E1482">
        <v>0</v>
      </c>
      <c r="F1482" t="s">
        <v>4270</v>
      </c>
      <c r="G1482" t="s">
        <v>4271</v>
      </c>
      <c r="H1482" t="s">
        <v>4272</v>
      </c>
    </row>
    <row r="1483" spans="2:8" x14ac:dyDescent="0.55000000000000004">
      <c r="B1483" s="7"/>
      <c r="D1483" t="s">
        <v>4273</v>
      </c>
      <c r="E1483">
        <v>0</v>
      </c>
      <c r="F1483" t="s">
        <v>4274</v>
      </c>
      <c r="G1483" t="s">
        <v>4275</v>
      </c>
      <c r="H1483" t="s">
        <v>4276</v>
      </c>
    </row>
    <row r="1484" spans="2:8" x14ac:dyDescent="0.55000000000000004">
      <c r="B1484" s="7"/>
      <c r="D1484" t="s">
        <v>4277</v>
      </c>
      <c r="E1484">
        <v>0</v>
      </c>
      <c r="F1484" t="s">
        <v>4278</v>
      </c>
      <c r="G1484" t="s">
        <v>4279</v>
      </c>
      <c r="H1484" t="s">
        <v>4280</v>
      </c>
    </row>
    <row r="1485" spans="2:8" x14ac:dyDescent="0.55000000000000004">
      <c r="B1485" s="7"/>
      <c r="D1485" t="s">
        <v>4281</v>
      </c>
      <c r="E1485">
        <v>0</v>
      </c>
      <c r="F1485" t="s">
        <v>4282</v>
      </c>
      <c r="G1485" t="s">
        <v>4283</v>
      </c>
      <c r="H1485" t="s">
        <v>4284</v>
      </c>
    </row>
    <row r="1486" spans="2:8" x14ac:dyDescent="0.55000000000000004">
      <c r="B1486" s="7"/>
      <c r="D1486" t="s">
        <v>4285</v>
      </c>
      <c r="E1486">
        <v>0</v>
      </c>
      <c r="F1486" t="s">
        <v>4286</v>
      </c>
      <c r="G1486" t="s">
        <v>4287</v>
      </c>
      <c r="H1486" t="s">
        <v>4288</v>
      </c>
    </row>
    <row r="1487" spans="2:8" x14ac:dyDescent="0.55000000000000004">
      <c r="B1487" s="7"/>
      <c r="D1487" t="s">
        <v>4289</v>
      </c>
      <c r="E1487">
        <v>0</v>
      </c>
      <c r="F1487" t="s">
        <v>4290</v>
      </c>
      <c r="G1487" t="s">
        <v>4291</v>
      </c>
      <c r="H1487" t="s">
        <v>4292</v>
      </c>
    </row>
    <row r="1488" spans="2:8" x14ac:dyDescent="0.55000000000000004">
      <c r="B1488" s="7"/>
      <c r="D1488" t="s">
        <v>4293</v>
      </c>
      <c r="E1488">
        <v>0</v>
      </c>
      <c r="F1488" t="s">
        <v>4294</v>
      </c>
      <c r="G1488" t="s">
        <v>4295</v>
      </c>
      <c r="H1488" t="s">
        <v>4296</v>
      </c>
    </row>
    <row r="1489" spans="2:8" x14ac:dyDescent="0.55000000000000004">
      <c r="B1489" s="7"/>
      <c r="D1489" t="s">
        <v>4297</v>
      </c>
      <c r="E1489">
        <v>0</v>
      </c>
      <c r="F1489" t="s">
        <v>4298</v>
      </c>
      <c r="G1489" t="s">
        <v>4299</v>
      </c>
      <c r="H1489" t="s">
        <v>4300</v>
      </c>
    </row>
    <row r="1490" spans="2:8" x14ac:dyDescent="0.55000000000000004">
      <c r="B1490" s="7"/>
      <c r="D1490" t="s">
        <v>4301</v>
      </c>
      <c r="E1490">
        <v>0</v>
      </c>
      <c r="F1490" t="s">
        <v>4302</v>
      </c>
      <c r="G1490" t="s">
        <v>4303</v>
      </c>
      <c r="H1490" t="s">
        <v>4304</v>
      </c>
    </row>
    <row r="1491" spans="2:8" x14ac:dyDescent="0.55000000000000004">
      <c r="B1491" s="7"/>
      <c r="D1491" t="s">
        <v>4305</v>
      </c>
      <c r="E1491">
        <v>0</v>
      </c>
      <c r="F1491" t="s">
        <v>4306</v>
      </c>
      <c r="G1491" t="s">
        <v>4307</v>
      </c>
      <c r="H1491" t="s">
        <v>4308</v>
      </c>
    </row>
    <row r="1492" spans="2:8" x14ac:dyDescent="0.55000000000000004">
      <c r="B1492" s="7"/>
      <c r="D1492" t="s">
        <v>4309</v>
      </c>
      <c r="E1492">
        <v>0</v>
      </c>
      <c r="F1492" t="s">
        <v>4310</v>
      </c>
      <c r="G1492" t="s">
        <v>4311</v>
      </c>
      <c r="H1492" t="s">
        <v>4312</v>
      </c>
    </row>
    <row r="1493" spans="2:8" x14ac:dyDescent="0.55000000000000004">
      <c r="B1493" s="7"/>
      <c r="D1493" t="s">
        <v>4313</v>
      </c>
      <c r="E1493">
        <v>0</v>
      </c>
      <c r="F1493" t="s">
        <v>4314</v>
      </c>
      <c r="G1493" t="s">
        <v>4315</v>
      </c>
      <c r="H1493" t="s">
        <v>4316</v>
      </c>
    </row>
    <row r="1494" spans="2:8" x14ac:dyDescent="0.55000000000000004">
      <c r="B1494" s="7"/>
      <c r="D1494" t="s">
        <v>4317</v>
      </c>
      <c r="E1494">
        <v>0</v>
      </c>
      <c r="F1494" t="s">
        <v>4318</v>
      </c>
      <c r="G1494" t="s">
        <v>4319</v>
      </c>
      <c r="H1494" t="s">
        <v>4320</v>
      </c>
    </row>
    <row r="1495" spans="2:8" x14ac:dyDescent="0.55000000000000004">
      <c r="B1495" s="7"/>
      <c r="D1495" t="s">
        <v>4325</v>
      </c>
      <c r="E1495">
        <v>0</v>
      </c>
      <c r="F1495" t="s">
        <v>4326</v>
      </c>
      <c r="G1495" t="s">
        <v>4327</v>
      </c>
      <c r="H1495" t="s">
        <v>4328</v>
      </c>
    </row>
    <row r="1496" spans="2:8" x14ac:dyDescent="0.55000000000000004">
      <c r="B1496" s="7"/>
      <c r="D1496" t="s">
        <v>4329</v>
      </c>
      <c r="E1496">
        <v>0</v>
      </c>
      <c r="F1496" t="s">
        <v>4330</v>
      </c>
      <c r="G1496" t="s">
        <v>4331</v>
      </c>
      <c r="H1496" t="s">
        <v>4332</v>
      </c>
    </row>
    <row r="1497" spans="2:8" x14ac:dyDescent="0.55000000000000004">
      <c r="B1497" s="7"/>
      <c r="D1497" t="s">
        <v>4337</v>
      </c>
      <c r="E1497">
        <v>0</v>
      </c>
      <c r="F1497" t="s">
        <v>1317</v>
      </c>
      <c r="G1497" t="s">
        <v>4338</v>
      </c>
      <c r="H1497" t="s">
        <v>4339</v>
      </c>
    </row>
    <row r="1498" spans="2:8" x14ac:dyDescent="0.55000000000000004">
      <c r="B1498" s="7"/>
      <c r="D1498" t="s">
        <v>4340</v>
      </c>
      <c r="E1498">
        <v>0</v>
      </c>
      <c r="F1498" t="s">
        <v>4341</v>
      </c>
      <c r="G1498" t="s">
        <v>4342</v>
      </c>
      <c r="H1498" t="s">
        <v>4343</v>
      </c>
    </row>
    <row r="1499" spans="2:8" x14ac:dyDescent="0.55000000000000004">
      <c r="B1499" s="7"/>
      <c r="D1499" t="s">
        <v>4344</v>
      </c>
      <c r="E1499">
        <v>0</v>
      </c>
      <c r="F1499" t="s">
        <v>4345</v>
      </c>
      <c r="G1499" t="s">
        <v>4346</v>
      </c>
      <c r="H1499" t="s">
        <v>4347</v>
      </c>
    </row>
    <row r="1500" spans="2:8" x14ac:dyDescent="0.55000000000000004">
      <c r="B1500" s="7"/>
      <c r="D1500" t="s">
        <v>4348</v>
      </c>
      <c r="E1500">
        <v>0</v>
      </c>
      <c r="F1500" t="s">
        <v>4349</v>
      </c>
      <c r="G1500" t="s">
        <v>4350</v>
      </c>
      <c r="H1500" t="s">
        <v>4351</v>
      </c>
    </row>
    <row r="1501" spans="2:8" x14ac:dyDescent="0.55000000000000004">
      <c r="B1501" s="7"/>
      <c r="D1501" t="s">
        <v>4352</v>
      </c>
      <c r="E1501">
        <v>0</v>
      </c>
      <c r="F1501" t="s">
        <v>4353</v>
      </c>
      <c r="G1501" t="s">
        <v>4354</v>
      </c>
      <c r="H1501" t="s">
        <v>4355</v>
      </c>
    </row>
    <row r="1502" spans="2:8" x14ac:dyDescent="0.55000000000000004">
      <c r="B1502" s="7"/>
      <c r="D1502" t="s">
        <v>4356</v>
      </c>
      <c r="E1502">
        <v>0</v>
      </c>
      <c r="F1502" t="s">
        <v>4357</v>
      </c>
      <c r="G1502" t="s">
        <v>4358</v>
      </c>
      <c r="H1502" t="s">
        <v>4359</v>
      </c>
    </row>
    <row r="1503" spans="2:8" x14ac:dyDescent="0.55000000000000004">
      <c r="B1503" s="7"/>
      <c r="D1503" t="s">
        <v>4360</v>
      </c>
      <c r="E1503">
        <v>0</v>
      </c>
      <c r="F1503" t="s">
        <v>4361</v>
      </c>
      <c r="G1503" t="s">
        <v>4362</v>
      </c>
      <c r="H1503" t="s">
        <v>4363</v>
      </c>
    </row>
    <row r="1504" spans="2:8" x14ac:dyDescent="0.55000000000000004">
      <c r="B1504" s="7"/>
      <c r="D1504" t="s">
        <v>4364</v>
      </c>
      <c r="E1504">
        <v>0</v>
      </c>
      <c r="F1504" t="s">
        <v>4365</v>
      </c>
      <c r="G1504" t="s">
        <v>4366</v>
      </c>
      <c r="H1504" t="s">
        <v>4367</v>
      </c>
    </row>
    <row r="1505" spans="2:8" x14ac:dyDescent="0.55000000000000004">
      <c r="B1505" s="7"/>
      <c r="D1505" t="s">
        <v>4368</v>
      </c>
      <c r="E1505">
        <v>0</v>
      </c>
      <c r="F1505" t="s">
        <v>4369</v>
      </c>
      <c r="G1505" t="s">
        <v>4370</v>
      </c>
      <c r="H1505" t="s">
        <v>4371</v>
      </c>
    </row>
    <row r="1506" spans="2:8" x14ac:dyDescent="0.55000000000000004">
      <c r="B1506" s="7"/>
      <c r="D1506" t="s">
        <v>4372</v>
      </c>
      <c r="E1506">
        <v>0</v>
      </c>
      <c r="F1506" t="s">
        <v>4373</v>
      </c>
      <c r="G1506" t="s">
        <v>4374</v>
      </c>
      <c r="H1506" t="s">
        <v>4375</v>
      </c>
    </row>
    <row r="1507" spans="2:8" x14ac:dyDescent="0.55000000000000004">
      <c r="B1507" s="7"/>
      <c r="D1507" t="s">
        <v>4376</v>
      </c>
      <c r="E1507">
        <v>0</v>
      </c>
      <c r="F1507" t="s">
        <v>4377</v>
      </c>
      <c r="G1507" t="s">
        <v>4378</v>
      </c>
      <c r="H1507" t="s">
        <v>4379</v>
      </c>
    </row>
    <row r="1508" spans="2:8" x14ac:dyDescent="0.55000000000000004">
      <c r="B1508" s="7"/>
      <c r="D1508" t="s">
        <v>4380</v>
      </c>
      <c r="E1508">
        <v>0</v>
      </c>
      <c r="F1508" t="s">
        <v>4381</v>
      </c>
      <c r="G1508" t="s">
        <v>4382</v>
      </c>
      <c r="H1508" t="s">
        <v>4383</v>
      </c>
    </row>
    <row r="1509" spans="2:8" x14ac:dyDescent="0.55000000000000004">
      <c r="B1509" s="7"/>
      <c r="D1509" t="s">
        <v>4384</v>
      </c>
      <c r="E1509">
        <v>0</v>
      </c>
      <c r="F1509" t="s">
        <v>4385</v>
      </c>
      <c r="G1509" t="s">
        <v>4386</v>
      </c>
      <c r="H1509" t="s">
        <v>4387</v>
      </c>
    </row>
    <row r="1510" spans="2:8" x14ac:dyDescent="0.55000000000000004">
      <c r="B1510" s="7"/>
      <c r="D1510" t="s">
        <v>4388</v>
      </c>
      <c r="E1510">
        <v>0</v>
      </c>
      <c r="F1510" t="s">
        <v>4389</v>
      </c>
      <c r="G1510" t="s">
        <v>4390</v>
      </c>
      <c r="H1510" t="s">
        <v>4391</v>
      </c>
    </row>
    <row r="1511" spans="2:8" x14ac:dyDescent="0.55000000000000004">
      <c r="B1511" s="7"/>
      <c r="D1511" t="s">
        <v>4392</v>
      </c>
      <c r="E1511">
        <v>0</v>
      </c>
      <c r="F1511" t="s">
        <v>4393</v>
      </c>
      <c r="G1511" t="s">
        <v>4394</v>
      </c>
      <c r="H1511" t="s">
        <v>4395</v>
      </c>
    </row>
    <row r="1512" spans="2:8" x14ac:dyDescent="0.55000000000000004">
      <c r="B1512" s="7"/>
      <c r="D1512" t="s">
        <v>4396</v>
      </c>
      <c r="E1512">
        <v>0</v>
      </c>
      <c r="F1512" t="s">
        <v>4397</v>
      </c>
      <c r="G1512" t="s">
        <v>4398</v>
      </c>
      <c r="H1512" t="s">
        <v>4399</v>
      </c>
    </row>
    <row r="1513" spans="2:8" x14ac:dyDescent="0.55000000000000004">
      <c r="B1513" s="7"/>
      <c r="D1513" t="s">
        <v>4400</v>
      </c>
      <c r="E1513">
        <v>0</v>
      </c>
      <c r="F1513" t="s">
        <v>4401</v>
      </c>
      <c r="G1513" t="s">
        <v>4402</v>
      </c>
      <c r="H1513" t="s">
        <v>4403</v>
      </c>
    </row>
    <row r="1514" spans="2:8" x14ac:dyDescent="0.55000000000000004">
      <c r="B1514" s="7"/>
      <c r="D1514" t="s">
        <v>4404</v>
      </c>
      <c r="E1514">
        <v>0</v>
      </c>
      <c r="F1514" t="s">
        <v>4405</v>
      </c>
      <c r="G1514" t="s">
        <v>4406</v>
      </c>
      <c r="H1514" t="s">
        <v>4407</v>
      </c>
    </row>
    <row r="1515" spans="2:8" x14ac:dyDescent="0.55000000000000004">
      <c r="B1515" s="7"/>
      <c r="D1515" t="s">
        <v>4408</v>
      </c>
      <c r="E1515">
        <v>0</v>
      </c>
      <c r="F1515" t="s">
        <v>4409</v>
      </c>
      <c r="G1515" t="s">
        <v>4410</v>
      </c>
      <c r="H1515" t="s">
        <v>4411</v>
      </c>
    </row>
    <row r="1516" spans="2:8" x14ac:dyDescent="0.55000000000000004">
      <c r="B1516" s="7"/>
      <c r="D1516" t="s">
        <v>4412</v>
      </c>
      <c r="E1516">
        <v>0</v>
      </c>
      <c r="F1516" t="s">
        <v>4413</v>
      </c>
      <c r="G1516" t="s">
        <v>4414</v>
      </c>
      <c r="H1516" t="s">
        <v>4415</v>
      </c>
    </row>
    <row r="1517" spans="2:8" x14ac:dyDescent="0.55000000000000004">
      <c r="B1517" s="7"/>
      <c r="D1517" t="s">
        <v>4416</v>
      </c>
      <c r="E1517">
        <v>0</v>
      </c>
      <c r="F1517" t="s">
        <v>4417</v>
      </c>
      <c r="G1517" t="s">
        <v>4418</v>
      </c>
      <c r="H1517" t="s">
        <v>4419</v>
      </c>
    </row>
    <row r="1518" spans="2:8" x14ac:dyDescent="0.55000000000000004">
      <c r="B1518" s="7"/>
      <c r="D1518" t="s">
        <v>4420</v>
      </c>
      <c r="E1518">
        <v>0</v>
      </c>
      <c r="F1518" t="s">
        <v>4421</v>
      </c>
      <c r="G1518" t="s">
        <v>4422</v>
      </c>
      <c r="H1518" t="s">
        <v>4423</v>
      </c>
    </row>
    <row r="1519" spans="2:8" x14ac:dyDescent="0.55000000000000004">
      <c r="B1519" s="7"/>
      <c r="D1519" t="s">
        <v>4424</v>
      </c>
      <c r="E1519">
        <v>0</v>
      </c>
      <c r="F1519" t="s">
        <v>4425</v>
      </c>
      <c r="G1519" t="s">
        <v>4426</v>
      </c>
      <c r="H1519" t="s">
        <v>4427</v>
      </c>
    </row>
    <row r="1520" spans="2:8" x14ac:dyDescent="0.55000000000000004">
      <c r="B1520" s="7"/>
      <c r="D1520" t="s">
        <v>4428</v>
      </c>
      <c r="E1520">
        <v>0</v>
      </c>
      <c r="F1520" t="s">
        <v>4429</v>
      </c>
      <c r="G1520" t="s">
        <v>4430</v>
      </c>
      <c r="H1520" t="s">
        <v>4431</v>
      </c>
    </row>
    <row r="1521" spans="2:8" x14ac:dyDescent="0.55000000000000004">
      <c r="B1521" s="7"/>
      <c r="D1521" t="s">
        <v>4432</v>
      </c>
      <c r="E1521">
        <v>0</v>
      </c>
      <c r="F1521" t="s">
        <v>4433</v>
      </c>
      <c r="G1521" t="s">
        <v>4434</v>
      </c>
      <c r="H1521" t="s">
        <v>4435</v>
      </c>
    </row>
    <row r="1522" spans="2:8" x14ac:dyDescent="0.55000000000000004">
      <c r="B1522" s="7"/>
      <c r="D1522" t="s">
        <v>4436</v>
      </c>
      <c r="E1522">
        <v>0</v>
      </c>
      <c r="F1522" t="s">
        <v>1675</v>
      </c>
      <c r="G1522" t="s">
        <v>4437</v>
      </c>
      <c r="H1522" t="s">
        <v>4438</v>
      </c>
    </row>
    <row r="1523" spans="2:8" x14ac:dyDescent="0.55000000000000004">
      <c r="B1523" s="7"/>
      <c r="D1523" t="s">
        <v>4440</v>
      </c>
      <c r="E1523">
        <v>0</v>
      </c>
      <c r="F1523" t="s">
        <v>4441</v>
      </c>
      <c r="G1523" t="s">
        <v>4442</v>
      </c>
      <c r="H1523" t="s">
        <v>4439</v>
      </c>
    </row>
    <row r="1524" spans="2:8" x14ac:dyDescent="0.55000000000000004">
      <c r="B1524" s="7"/>
      <c r="D1524" t="s">
        <v>4443</v>
      </c>
      <c r="E1524">
        <v>1</v>
      </c>
      <c r="F1524" t="s">
        <v>4444</v>
      </c>
      <c r="G1524" t="s">
        <v>4445</v>
      </c>
      <c r="H1524" t="s">
        <v>4439</v>
      </c>
    </row>
    <row r="1525" spans="2:8" x14ac:dyDescent="0.55000000000000004">
      <c r="B1525" s="7"/>
      <c r="D1525" t="s">
        <v>4446</v>
      </c>
      <c r="E1525">
        <v>2</v>
      </c>
      <c r="F1525" t="s">
        <v>4447</v>
      </c>
      <c r="G1525" t="s">
        <v>4448</v>
      </c>
      <c r="H1525" t="s">
        <v>4439</v>
      </c>
    </row>
    <row r="1526" spans="2:8" x14ac:dyDescent="0.55000000000000004">
      <c r="B1526" s="7"/>
      <c r="D1526" t="s">
        <v>4450</v>
      </c>
      <c r="E1526">
        <v>0</v>
      </c>
      <c r="F1526" t="s">
        <v>4451</v>
      </c>
      <c r="G1526" t="s">
        <v>4452</v>
      </c>
      <c r="H1526" t="s">
        <v>4449</v>
      </c>
    </row>
    <row r="1527" spans="2:8" x14ac:dyDescent="0.55000000000000004">
      <c r="B1527" s="7"/>
      <c r="D1527" t="s">
        <v>4453</v>
      </c>
      <c r="E1527">
        <v>1</v>
      </c>
      <c r="F1527" t="s">
        <v>4454</v>
      </c>
      <c r="G1527" t="s">
        <v>4455</v>
      </c>
      <c r="H1527" t="s">
        <v>4449</v>
      </c>
    </row>
    <row r="1528" spans="2:8" x14ac:dyDescent="0.55000000000000004">
      <c r="B1528" s="7"/>
      <c r="D1528" t="s">
        <v>4456</v>
      </c>
      <c r="E1528">
        <v>2</v>
      </c>
      <c r="F1528" t="s">
        <v>4457</v>
      </c>
      <c r="G1528" t="s">
        <v>4458</v>
      </c>
      <c r="H1528" t="s">
        <v>4449</v>
      </c>
    </row>
    <row r="1529" spans="2:8" x14ac:dyDescent="0.55000000000000004">
      <c r="B1529" s="7"/>
      <c r="D1529" t="s">
        <v>4459</v>
      </c>
      <c r="E1529">
        <v>0</v>
      </c>
      <c r="F1529" t="s">
        <v>4460</v>
      </c>
      <c r="G1529" t="s">
        <v>4461</v>
      </c>
      <c r="H1529" t="s">
        <v>4462</v>
      </c>
    </row>
    <row r="1530" spans="2:8" x14ac:dyDescent="0.55000000000000004">
      <c r="B1530" s="7"/>
      <c r="D1530" t="s">
        <v>4463</v>
      </c>
      <c r="E1530">
        <v>0</v>
      </c>
      <c r="F1530" t="s">
        <v>4464</v>
      </c>
      <c r="G1530" t="s">
        <v>4465</v>
      </c>
      <c r="H1530" t="s">
        <v>4466</v>
      </c>
    </row>
    <row r="1531" spans="2:8" x14ac:dyDescent="0.55000000000000004">
      <c r="B1531" s="7"/>
      <c r="D1531" t="s">
        <v>4467</v>
      </c>
      <c r="E1531">
        <v>0</v>
      </c>
      <c r="F1531" t="s">
        <v>4468</v>
      </c>
      <c r="G1531" t="s">
        <v>4469</v>
      </c>
      <c r="H1531" t="s">
        <v>4470</v>
      </c>
    </row>
    <row r="1532" spans="2:8" x14ac:dyDescent="0.55000000000000004">
      <c r="B1532" s="7"/>
      <c r="D1532" t="s">
        <v>4471</v>
      </c>
      <c r="E1532">
        <v>0</v>
      </c>
      <c r="F1532" t="s">
        <v>4472</v>
      </c>
      <c r="G1532" t="s">
        <v>4473</v>
      </c>
      <c r="H1532" t="s">
        <v>4474</v>
      </c>
    </row>
    <row r="1533" spans="2:8" x14ac:dyDescent="0.55000000000000004">
      <c r="B1533" s="7"/>
      <c r="D1533" t="s">
        <v>4475</v>
      </c>
      <c r="E1533">
        <v>0</v>
      </c>
      <c r="F1533" t="s">
        <v>4476</v>
      </c>
      <c r="G1533" t="s">
        <v>4477</v>
      </c>
      <c r="H1533" t="s">
        <v>4478</v>
      </c>
    </row>
    <row r="1534" spans="2:8" x14ac:dyDescent="0.55000000000000004">
      <c r="B1534" s="7"/>
      <c r="D1534" t="s">
        <v>4479</v>
      </c>
      <c r="E1534">
        <v>0</v>
      </c>
      <c r="F1534" t="s">
        <v>4480</v>
      </c>
      <c r="G1534" t="s">
        <v>4481</v>
      </c>
      <c r="H1534" t="s">
        <v>4482</v>
      </c>
    </row>
    <row r="1535" spans="2:8" x14ac:dyDescent="0.55000000000000004">
      <c r="B1535" s="7"/>
      <c r="D1535" t="s">
        <v>4483</v>
      </c>
      <c r="E1535">
        <v>0</v>
      </c>
      <c r="F1535" t="s">
        <v>4484</v>
      </c>
      <c r="G1535" t="s">
        <v>4485</v>
      </c>
      <c r="H1535" t="s">
        <v>4486</v>
      </c>
    </row>
    <row r="1536" spans="2:8" x14ac:dyDescent="0.55000000000000004">
      <c r="B1536" s="7"/>
      <c r="D1536" t="s">
        <v>4488</v>
      </c>
      <c r="E1536">
        <v>0</v>
      </c>
      <c r="F1536" t="s">
        <v>4489</v>
      </c>
      <c r="G1536" t="s">
        <v>4490</v>
      </c>
      <c r="H1536" t="s">
        <v>4487</v>
      </c>
    </row>
    <row r="1537" spans="2:8" x14ac:dyDescent="0.55000000000000004">
      <c r="B1537" s="7"/>
      <c r="D1537" t="s">
        <v>4491</v>
      </c>
      <c r="E1537">
        <v>1</v>
      </c>
      <c r="F1537" t="s">
        <v>4492</v>
      </c>
      <c r="G1537" t="s">
        <v>4493</v>
      </c>
      <c r="H1537" t="s">
        <v>4487</v>
      </c>
    </row>
    <row r="1538" spans="2:8" x14ac:dyDescent="0.55000000000000004">
      <c r="B1538" s="7"/>
      <c r="D1538" t="s">
        <v>4494</v>
      </c>
      <c r="E1538">
        <v>2</v>
      </c>
      <c r="F1538" t="s">
        <v>4495</v>
      </c>
      <c r="G1538" t="s">
        <v>4496</v>
      </c>
      <c r="H1538" t="s">
        <v>4487</v>
      </c>
    </row>
    <row r="1539" spans="2:8" x14ac:dyDescent="0.55000000000000004">
      <c r="B1539" s="7"/>
      <c r="D1539" t="s">
        <v>4497</v>
      </c>
      <c r="E1539">
        <v>0</v>
      </c>
      <c r="F1539" t="s">
        <v>4498</v>
      </c>
      <c r="G1539" t="s">
        <v>4499</v>
      </c>
      <c r="H1539" t="s">
        <v>4500</v>
      </c>
    </row>
    <row r="1540" spans="2:8" x14ac:dyDescent="0.55000000000000004">
      <c r="B1540" s="7"/>
      <c r="D1540" t="s">
        <v>4501</v>
      </c>
      <c r="E1540">
        <v>0</v>
      </c>
      <c r="F1540" t="s">
        <v>4502</v>
      </c>
      <c r="G1540" t="s">
        <v>4503</v>
      </c>
      <c r="H1540" t="s">
        <v>4504</v>
      </c>
    </row>
    <row r="1541" spans="2:8" x14ac:dyDescent="0.55000000000000004">
      <c r="B1541" s="7"/>
      <c r="D1541" t="s">
        <v>4505</v>
      </c>
      <c r="E1541">
        <v>0</v>
      </c>
      <c r="F1541" t="s">
        <v>4506</v>
      </c>
      <c r="G1541" t="s">
        <v>4507</v>
      </c>
      <c r="H1541" t="s">
        <v>4508</v>
      </c>
    </row>
    <row r="1542" spans="2:8" x14ac:dyDescent="0.55000000000000004">
      <c r="B1542" s="7"/>
      <c r="D1542" t="s">
        <v>4509</v>
      </c>
      <c r="E1542">
        <v>0</v>
      </c>
      <c r="F1542" t="s">
        <v>4510</v>
      </c>
      <c r="G1542" t="s">
        <v>4511</v>
      </c>
      <c r="H1542" t="s">
        <v>4512</v>
      </c>
    </row>
    <row r="1543" spans="2:8" x14ac:dyDescent="0.55000000000000004">
      <c r="B1543" s="7"/>
      <c r="D1543" t="s">
        <v>4513</v>
      </c>
      <c r="E1543">
        <v>0</v>
      </c>
      <c r="F1543" t="s">
        <v>4514</v>
      </c>
      <c r="G1543" t="s">
        <v>4515</v>
      </c>
      <c r="H1543" t="s">
        <v>4516</v>
      </c>
    </row>
    <row r="1544" spans="2:8" x14ac:dyDescent="0.55000000000000004">
      <c r="B1544" s="7"/>
      <c r="D1544" t="s">
        <v>4517</v>
      </c>
      <c r="E1544">
        <v>0</v>
      </c>
      <c r="F1544" t="s">
        <v>1059</v>
      </c>
      <c r="G1544" t="s">
        <v>4518</v>
      </c>
      <c r="H1544" t="s">
        <v>4519</v>
      </c>
    </row>
    <row r="1545" spans="2:8" x14ac:dyDescent="0.55000000000000004">
      <c r="B1545" s="7"/>
      <c r="D1545" t="s">
        <v>4520</v>
      </c>
      <c r="E1545">
        <v>0</v>
      </c>
      <c r="F1545" t="s">
        <v>4521</v>
      </c>
      <c r="G1545" t="s">
        <v>4522</v>
      </c>
      <c r="H1545" t="s">
        <v>4523</v>
      </c>
    </row>
    <row r="1546" spans="2:8" x14ac:dyDescent="0.55000000000000004">
      <c r="B1546" s="7"/>
      <c r="D1546" t="s">
        <v>4524</v>
      </c>
      <c r="E1546">
        <v>0</v>
      </c>
      <c r="F1546" t="s">
        <v>4525</v>
      </c>
      <c r="G1546" t="s">
        <v>4526</v>
      </c>
      <c r="H1546" t="s">
        <v>4527</v>
      </c>
    </row>
    <row r="1547" spans="2:8" x14ac:dyDescent="0.55000000000000004">
      <c r="B1547" s="7"/>
      <c r="D1547" t="s">
        <v>4528</v>
      </c>
      <c r="E1547">
        <v>0</v>
      </c>
      <c r="F1547" t="s">
        <v>4529</v>
      </c>
      <c r="G1547" t="s">
        <v>4530</v>
      </c>
      <c r="H1547" t="s">
        <v>4531</v>
      </c>
    </row>
    <row r="1548" spans="2:8" x14ac:dyDescent="0.55000000000000004">
      <c r="B1548" s="7"/>
      <c r="D1548" t="s">
        <v>4532</v>
      </c>
      <c r="E1548">
        <v>0</v>
      </c>
      <c r="F1548" t="s">
        <v>4533</v>
      </c>
      <c r="G1548" t="s">
        <v>4534</v>
      </c>
      <c r="H1548" t="s">
        <v>4535</v>
      </c>
    </row>
    <row r="1549" spans="2:8" x14ac:dyDescent="0.55000000000000004">
      <c r="B1549" s="7"/>
      <c r="D1549" t="s">
        <v>4536</v>
      </c>
      <c r="E1549">
        <v>0</v>
      </c>
      <c r="F1549" t="s">
        <v>4537</v>
      </c>
      <c r="G1549" t="s">
        <v>4538</v>
      </c>
      <c r="H1549" t="s">
        <v>4539</v>
      </c>
    </row>
    <row r="1550" spans="2:8" x14ac:dyDescent="0.55000000000000004">
      <c r="B1550" s="7"/>
      <c r="D1550" t="s">
        <v>4540</v>
      </c>
      <c r="E1550">
        <v>0</v>
      </c>
      <c r="F1550" t="s">
        <v>4541</v>
      </c>
      <c r="G1550" t="s">
        <v>4542</v>
      </c>
      <c r="H1550" t="s">
        <v>4543</v>
      </c>
    </row>
    <row r="1551" spans="2:8" x14ac:dyDescent="0.55000000000000004">
      <c r="B1551" s="7"/>
      <c r="D1551" t="s">
        <v>4544</v>
      </c>
      <c r="E1551">
        <v>0</v>
      </c>
      <c r="F1551" t="s">
        <v>4545</v>
      </c>
      <c r="G1551" t="s">
        <v>4546</v>
      </c>
      <c r="H1551" t="s">
        <v>4547</v>
      </c>
    </row>
    <row r="1552" spans="2:8" x14ac:dyDescent="0.55000000000000004">
      <c r="B1552" s="7"/>
      <c r="D1552" t="s">
        <v>4548</v>
      </c>
      <c r="E1552">
        <v>0</v>
      </c>
      <c r="F1552" t="s">
        <v>1067</v>
      </c>
      <c r="G1552" t="s">
        <v>4549</v>
      </c>
      <c r="H1552" t="s">
        <v>4550</v>
      </c>
    </row>
    <row r="1553" spans="2:8" x14ac:dyDescent="0.55000000000000004">
      <c r="B1553" s="7"/>
      <c r="D1553" t="s">
        <v>4551</v>
      </c>
      <c r="E1553">
        <v>0</v>
      </c>
      <c r="F1553" t="s">
        <v>4552</v>
      </c>
      <c r="G1553" t="s">
        <v>4553</v>
      </c>
      <c r="H1553" t="s">
        <v>4554</v>
      </c>
    </row>
    <row r="1554" spans="2:8" x14ac:dyDescent="0.55000000000000004">
      <c r="B1554" s="7"/>
      <c r="D1554" t="s">
        <v>4555</v>
      </c>
      <c r="E1554">
        <v>0</v>
      </c>
      <c r="F1554" t="s">
        <v>4556</v>
      </c>
      <c r="G1554" t="s">
        <v>4557</v>
      </c>
      <c r="H1554" t="s">
        <v>4558</v>
      </c>
    </row>
    <row r="1555" spans="2:8" x14ac:dyDescent="0.55000000000000004">
      <c r="B1555" s="7"/>
      <c r="D1555" t="s">
        <v>4559</v>
      </c>
      <c r="E1555">
        <v>0</v>
      </c>
      <c r="F1555" t="s">
        <v>4560</v>
      </c>
      <c r="G1555" t="s">
        <v>4561</v>
      </c>
      <c r="H1555" t="s">
        <v>4562</v>
      </c>
    </row>
    <row r="1556" spans="2:8" x14ac:dyDescent="0.55000000000000004">
      <c r="B1556" s="7"/>
      <c r="D1556" t="s">
        <v>4564</v>
      </c>
      <c r="E1556">
        <v>0</v>
      </c>
      <c r="F1556" t="s">
        <v>4565</v>
      </c>
      <c r="G1556" t="s">
        <v>4566</v>
      </c>
      <c r="H1556" t="s">
        <v>4563</v>
      </c>
    </row>
    <row r="1557" spans="2:8" x14ac:dyDescent="0.55000000000000004">
      <c r="B1557" s="7"/>
      <c r="D1557" t="s">
        <v>4567</v>
      </c>
      <c r="E1557">
        <v>1</v>
      </c>
      <c r="F1557" t="s">
        <v>4568</v>
      </c>
      <c r="G1557" t="s">
        <v>4569</v>
      </c>
      <c r="H1557" t="s">
        <v>4563</v>
      </c>
    </row>
    <row r="1558" spans="2:8" x14ac:dyDescent="0.55000000000000004">
      <c r="B1558" s="7"/>
      <c r="D1558" t="s">
        <v>4570</v>
      </c>
      <c r="E1558">
        <v>2</v>
      </c>
      <c r="F1558" t="s">
        <v>4571</v>
      </c>
      <c r="G1558" t="s">
        <v>4572</v>
      </c>
      <c r="H1558" t="s">
        <v>4563</v>
      </c>
    </row>
    <row r="1559" spans="2:8" x14ac:dyDescent="0.55000000000000004">
      <c r="B1559" s="7"/>
      <c r="D1559" t="s">
        <v>4573</v>
      </c>
      <c r="E1559">
        <v>0</v>
      </c>
      <c r="F1559" t="s">
        <v>4574</v>
      </c>
      <c r="G1559" t="s">
        <v>4575</v>
      </c>
      <c r="H1559" t="s">
        <v>4576</v>
      </c>
    </row>
    <row r="1560" spans="2:8" x14ac:dyDescent="0.55000000000000004">
      <c r="B1560" s="7"/>
      <c r="D1560" t="s">
        <v>4577</v>
      </c>
      <c r="E1560">
        <v>0</v>
      </c>
      <c r="F1560" t="s">
        <v>4578</v>
      </c>
      <c r="G1560" t="s">
        <v>4579</v>
      </c>
      <c r="H1560" t="s">
        <v>4580</v>
      </c>
    </row>
    <row r="1561" spans="2:8" x14ac:dyDescent="0.55000000000000004">
      <c r="B1561" s="7"/>
      <c r="D1561" t="s">
        <v>4581</v>
      </c>
      <c r="E1561">
        <v>0</v>
      </c>
      <c r="F1561" t="s">
        <v>4582</v>
      </c>
      <c r="G1561" t="s">
        <v>4583</v>
      </c>
      <c r="H1561" t="s">
        <v>4584</v>
      </c>
    </row>
    <row r="1562" spans="2:8" x14ac:dyDescent="0.55000000000000004">
      <c r="B1562" s="7"/>
      <c r="D1562" t="s">
        <v>4586</v>
      </c>
      <c r="E1562">
        <v>0</v>
      </c>
      <c r="F1562" t="s">
        <v>4587</v>
      </c>
      <c r="G1562" t="s">
        <v>4588</v>
      </c>
      <c r="H1562" t="s">
        <v>4585</v>
      </c>
    </row>
    <row r="1563" spans="2:8" x14ac:dyDescent="0.55000000000000004">
      <c r="B1563" s="7"/>
      <c r="D1563" t="s">
        <v>4589</v>
      </c>
      <c r="E1563">
        <v>1</v>
      </c>
      <c r="F1563" t="s">
        <v>4590</v>
      </c>
      <c r="G1563" t="s">
        <v>4591</v>
      </c>
      <c r="H1563" t="s">
        <v>4585</v>
      </c>
    </row>
    <row r="1564" spans="2:8" x14ac:dyDescent="0.55000000000000004">
      <c r="B1564" s="7"/>
      <c r="D1564" t="s">
        <v>4592</v>
      </c>
      <c r="E1564">
        <v>2</v>
      </c>
      <c r="F1564" t="s">
        <v>4593</v>
      </c>
      <c r="G1564" t="s">
        <v>4594</v>
      </c>
      <c r="H1564" t="s">
        <v>4585</v>
      </c>
    </row>
    <row r="1565" spans="2:8" x14ac:dyDescent="0.55000000000000004">
      <c r="B1565" s="7"/>
      <c r="D1565" t="s">
        <v>4595</v>
      </c>
      <c r="E1565">
        <v>0</v>
      </c>
      <c r="F1565" t="s">
        <v>4596</v>
      </c>
      <c r="G1565" t="s">
        <v>4597</v>
      </c>
      <c r="H1565" t="s">
        <v>4598</v>
      </c>
    </row>
    <row r="1566" spans="2:8" x14ac:dyDescent="0.55000000000000004">
      <c r="B1566" s="7"/>
      <c r="D1566" t="s">
        <v>4599</v>
      </c>
      <c r="E1566">
        <v>0</v>
      </c>
      <c r="F1566" t="s">
        <v>4600</v>
      </c>
      <c r="G1566" t="s">
        <v>4601</v>
      </c>
      <c r="H1566" t="s">
        <v>4602</v>
      </c>
    </row>
    <row r="1567" spans="2:8" x14ac:dyDescent="0.55000000000000004">
      <c r="B1567" s="7"/>
      <c r="D1567" t="s">
        <v>4603</v>
      </c>
      <c r="E1567">
        <v>0</v>
      </c>
      <c r="F1567" t="s">
        <v>4357</v>
      </c>
      <c r="G1567" t="s">
        <v>4604</v>
      </c>
      <c r="H1567" t="s">
        <v>4605</v>
      </c>
    </row>
    <row r="1568" spans="2:8" x14ac:dyDescent="0.55000000000000004">
      <c r="B1568" s="7"/>
      <c r="D1568" t="s">
        <v>4606</v>
      </c>
      <c r="E1568">
        <v>0</v>
      </c>
      <c r="F1568" t="s">
        <v>4607</v>
      </c>
      <c r="G1568" t="s">
        <v>4608</v>
      </c>
      <c r="H1568" t="s">
        <v>4609</v>
      </c>
    </row>
    <row r="1569" spans="2:8" x14ac:dyDescent="0.55000000000000004">
      <c r="B1569" s="7"/>
      <c r="D1569" t="s">
        <v>4611</v>
      </c>
      <c r="E1569">
        <v>0</v>
      </c>
      <c r="F1569" t="s">
        <v>4612</v>
      </c>
      <c r="G1569" t="s">
        <v>4613</v>
      </c>
      <c r="H1569" t="s">
        <v>4614</v>
      </c>
    </row>
    <row r="1570" spans="2:8" x14ac:dyDescent="0.55000000000000004">
      <c r="B1570" s="7"/>
      <c r="D1570" t="s">
        <v>4616</v>
      </c>
      <c r="E1570">
        <v>0</v>
      </c>
      <c r="F1570" t="s">
        <v>4617</v>
      </c>
      <c r="G1570" t="s">
        <v>4618</v>
      </c>
      <c r="H1570" t="s">
        <v>4615</v>
      </c>
    </row>
    <row r="1571" spans="2:8" x14ac:dyDescent="0.55000000000000004">
      <c r="B1571" s="7"/>
      <c r="D1571" t="s">
        <v>4619</v>
      </c>
      <c r="E1571">
        <v>1</v>
      </c>
      <c r="F1571" t="s">
        <v>4620</v>
      </c>
      <c r="G1571" t="s">
        <v>4621</v>
      </c>
      <c r="H1571" t="s">
        <v>4615</v>
      </c>
    </row>
    <row r="1572" spans="2:8" x14ac:dyDescent="0.55000000000000004">
      <c r="B1572" s="7"/>
      <c r="D1572" t="s">
        <v>4622</v>
      </c>
      <c r="E1572">
        <v>2</v>
      </c>
      <c r="F1572" t="s">
        <v>4623</v>
      </c>
      <c r="G1572" t="s">
        <v>4624</v>
      </c>
      <c r="H1572" t="s">
        <v>4615</v>
      </c>
    </row>
    <row r="1573" spans="2:8" x14ac:dyDescent="0.55000000000000004">
      <c r="B1573" s="7"/>
      <c r="D1573" t="s">
        <v>4625</v>
      </c>
      <c r="E1573">
        <v>0</v>
      </c>
      <c r="F1573" t="s">
        <v>4626</v>
      </c>
      <c r="G1573" t="s">
        <v>4627</v>
      </c>
      <c r="H1573" t="s">
        <v>4628</v>
      </c>
    </row>
    <row r="1574" spans="2:8" x14ac:dyDescent="0.55000000000000004">
      <c r="B1574" s="7"/>
      <c r="D1574" t="s">
        <v>4629</v>
      </c>
      <c r="E1574">
        <v>0</v>
      </c>
      <c r="F1574" t="s">
        <v>4630</v>
      </c>
      <c r="G1574" t="s">
        <v>4631</v>
      </c>
      <c r="H1574" t="s">
        <v>4632</v>
      </c>
    </row>
    <row r="1575" spans="2:8" x14ac:dyDescent="0.55000000000000004">
      <c r="B1575" s="7"/>
      <c r="D1575" t="s">
        <v>4634</v>
      </c>
      <c r="E1575">
        <v>0</v>
      </c>
      <c r="F1575" t="s">
        <v>4635</v>
      </c>
      <c r="G1575" t="s">
        <v>4636</v>
      </c>
      <c r="H1575" t="s">
        <v>4633</v>
      </c>
    </row>
    <row r="1576" spans="2:8" x14ac:dyDescent="0.55000000000000004">
      <c r="B1576" s="7"/>
      <c r="D1576" t="s">
        <v>4637</v>
      </c>
      <c r="E1576">
        <v>1</v>
      </c>
      <c r="F1576" t="s">
        <v>4638</v>
      </c>
      <c r="G1576" t="s">
        <v>4639</v>
      </c>
      <c r="H1576" t="s">
        <v>4633</v>
      </c>
    </row>
    <row r="1577" spans="2:8" x14ac:dyDescent="0.55000000000000004">
      <c r="B1577" s="7"/>
      <c r="D1577" t="s">
        <v>4640</v>
      </c>
      <c r="E1577">
        <v>2</v>
      </c>
      <c r="F1577" t="s">
        <v>4641</v>
      </c>
      <c r="G1577" t="s">
        <v>4642</v>
      </c>
      <c r="H1577" t="s">
        <v>4633</v>
      </c>
    </row>
    <row r="1578" spans="2:8" x14ac:dyDescent="0.55000000000000004">
      <c r="B1578" s="7"/>
      <c r="D1578" t="s">
        <v>4643</v>
      </c>
      <c r="E1578">
        <v>0</v>
      </c>
      <c r="F1578" t="s">
        <v>4644</v>
      </c>
      <c r="G1578" t="s">
        <v>4645</v>
      </c>
      <c r="H1578" t="s">
        <v>4646</v>
      </c>
    </row>
    <row r="1579" spans="2:8" x14ac:dyDescent="0.55000000000000004">
      <c r="B1579" s="7"/>
      <c r="D1579" t="s">
        <v>4647</v>
      </c>
      <c r="E1579">
        <v>0</v>
      </c>
      <c r="F1579" t="s">
        <v>4648</v>
      </c>
      <c r="G1579" t="s">
        <v>4649</v>
      </c>
      <c r="H1579" t="s">
        <v>4650</v>
      </c>
    </row>
    <row r="1580" spans="2:8" x14ac:dyDescent="0.55000000000000004">
      <c r="B1580" s="7"/>
      <c r="D1580" t="s">
        <v>4651</v>
      </c>
      <c r="E1580">
        <v>0</v>
      </c>
      <c r="F1580" t="s">
        <v>4652</v>
      </c>
      <c r="G1580" t="s">
        <v>4653</v>
      </c>
      <c r="H1580" t="s">
        <v>4654</v>
      </c>
    </row>
    <row r="1581" spans="2:8" x14ac:dyDescent="0.55000000000000004">
      <c r="B1581" s="7"/>
      <c r="D1581" t="s">
        <v>4655</v>
      </c>
      <c r="E1581">
        <v>0</v>
      </c>
      <c r="F1581" t="s">
        <v>4610</v>
      </c>
      <c r="G1581" t="s">
        <v>4656</v>
      </c>
      <c r="H1581" t="s">
        <v>4657</v>
      </c>
    </row>
    <row r="1582" spans="2:8" x14ac:dyDescent="0.55000000000000004">
      <c r="B1582" s="7"/>
      <c r="D1582" t="s">
        <v>4659</v>
      </c>
      <c r="E1582">
        <v>0</v>
      </c>
      <c r="F1582" t="s">
        <v>4660</v>
      </c>
      <c r="G1582" t="s">
        <v>4661</v>
      </c>
      <c r="H1582" t="s">
        <v>4658</v>
      </c>
    </row>
    <row r="1583" spans="2:8" x14ac:dyDescent="0.55000000000000004">
      <c r="B1583" s="7"/>
      <c r="D1583" t="s">
        <v>4662</v>
      </c>
      <c r="E1583">
        <v>1</v>
      </c>
      <c r="F1583" t="s">
        <v>4663</v>
      </c>
      <c r="G1583" t="s">
        <v>4664</v>
      </c>
      <c r="H1583" t="s">
        <v>4658</v>
      </c>
    </row>
    <row r="1584" spans="2:8" x14ac:dyDescent="0.55000000000000004">
      <c r="B1584" s="7"/>
      <c r="D1584" t="s">
        <v>4665</v>
      </c>
      <c r="E1584">
        <v>2</v>
      </c>
      <c r="F1584" t="s">
        <v>4666</v>
      </c>
      <c r="G1584" t="s">
        <v>4667</v>
      </c>
      <c r="H1584" t="s">
        <v>4658</v>
      </c>
    </row>
    <row r="1585" spans="2:8" x14ac:dyDescent="0.55000000000000004">
      <c r="B1585" s="7"/>
      <c r="D1585" t="s">
        <v>4668</v>
      </c>
      <c r="E1585">
        <v>0</v>
      </c>
      <c r="F1585" t="s">
        <v>4669</v>
      </c>
      <c r="G1585" t="s">
        <v>4670</v>
      </c>
      <c r="H1585" t="s">
        <v>4671</v>
      </c>
    </row>
    <row r="1586" spans="2:8" x14ac:dyDescent="0.55000000000000004">
      <c r="B1586" s="7"/>
      <c r="D1586" t="s">
        <v>4673</v>
      </c>
      <c r="E1586">
        <v>0</v>
      </c>
      <c r="F1586" t="s">
        <v>4674</v>
      </c>
      <c r="G1586" t="s">
        <v>4675</v>
      </c>
      <c r="H1586" t="s">
        <v>4672</v>
      </c>
    </row>
    <row r="1587" spans="2:8" x14ac:dyDescent="0.55000000000000004">
      <c r="B1587" s="7"/>
      <c r="D1587" t="s">
        <v>4676</v>
      </c>
      <c r="E1587">
        <v>1</v>
      </c>
      <c r="F1587" t="s">
        <v>4677</v>
      </c>
      <c r="G1587" t="s">
        <v>4678</v>
      </c>
      <c r="H1587" t="s">
        <v>4672</v>
      </c>
    </row>
    <row r="1588" spans="2:8" x14ac:dyDescent="0.55000000000000004">
      <c r="B1588" s="7"/>
      <c r="D1588" t="s">
        <v>4679</v>
      </c>
      <c r="E1588">
        <v>2</v>
      </c>
      <c r="F1588" t="s">
        <v>4680</v>
      </c>
      <c r="G1588" t="s">
        <v>4681</v>
      </c>
      <c r="H1588" t="s">
        <v>4672</v>
      </c>
    </row>
    <row r="1589" spans="2:8" x14ac:dyDescent="0.55000000000000004">
      <c r="B1589" s="7"/>
      <c r="D1589" t="s">
        <v>4682</v>
      </c>
      <c r="E1589">
        <v>0</v>
      </c>
      <c r="F1589" t="s">
        <v>4683</v>
      </c>
      <c r="G1589" t="s">
        <v>4684</v>
      </c>
      <c r="H1589" t="s">
        <v>4685</v>
      </c>
    </row>
    <row r="1590" spans="2:8" x14ac:dyDescent="0.55000000000000004">
      <c r="B1590" s="7"/>
      <c r="D1590" t="s">
        <v>4686</v>
      </c>
      <c r="E1590">
        <v>0</v>
      </c>
      <c r="F1590" t="s">
        <v>4687</v>
      </c>
      <c r="G1590" t="s">
        <v>4688</v>
      </c>
      <c r="H1590" t="s">
        <v>4689</v>
      </c>
    </row>
    <row r="1591" spans="2:8" x14ac:dyDescent="0.55000000000000004">
      <c r="B1591" s="7"/>
      <c r="D1591" t="s">
        <v>4690</v>
      </c>
      <c r="E1591">
        <v>0</v>
      </c>
      <c r="F1591" t="s">
        <v>4691</v>
      </c>
      <c r="G1591" t="s">
        <v>4692</v>
      </c>
      <c r="H1591" t="s">
        <v>4693</v>
      </c>
    </row>
    <row r="1592" spans="2:8" x14ac:dyDescent="0.55000000000000004">
      <c r="B1592" s="7"/>
      <c r="D1592" t="s">
        <v>4694</v>
      </c>
      <c r="E1592">
        <v>0</v>
      </c>
      <c r="F1592" t="s">
        <v>4695</v>
      </c>
      <c r="G1592" t="s">
        <v>4696</v>
      </c>
      <c r="H1592" t="s">
        <v>4697</v>
      </c>
    </row>
    <row r="1593" spans="2:8" x14ac:dyDescent="0.55000000000000004">
      <c r="B1593" s="7"/>
      <c r="D1593" t="s">
        <v>4698</v>
      </c>
      <c r="E1593">
        <v>0</v>
      </c>
      <c r="F1593" t="s">
        <v>4699</v>
      </c>
      <c r="G1593" t="s">
        <v>4700</v>
      </c>
      <c r="H1593" t="s">
        <v>4701</v>
      </c>
    </row>
    <row r="1594" spans="2:8" x14ac:dyDescent="0.55000000000000004">
      <c r="B1594" s="7"/>
      <c r="D1594" t="s">
        <v>4702</v>
      </c>
      <c r="E1594">
        <v>0</v>
      </c>
      <c r="F1594" t="s">
        <v>4703</v>
      </c>
      <c r="G1594" t="s">
        <v>4704</v>
      </c>
      <c r="H1594" t="s">
        <v>4705</v>
      </c>
    </row>
    <row r="1595" spans="2:8" x14ac:dyDescent="0.55000000000000004">
      <c r="B1595" s="7"/>
      <c r="D1595" t="s">
        <v>4706</v>
      </c>
      <c r="E1595">
        <v>0</v>
      </c>
      <c r="F1595" t="s">
        <v>4596</v>
      </c>
      <c r="G1595" t="s">
        <v>4707</v>
      </c>
      <c r="H1595" t="s">
        <v>4708</v>
      </c>
    </row>
    <row r="1596" spans="2:8" x14ac:dyDescent="0.55000000000000004">
      <c r="B1596" s="7"/>
      <c r="D1596" t="s">
        <v>4709</v>
      </c>
      <c r="E1596">
        <v>0</v>
      </c>
      <c r="F1596" t="s">
        <v>4710</v>
      </c>
      <c r="G1596" t="s">
        <v>4711</v>
      </c>
      <c r="H1596" t="s">
        <v>4712</v>
      </c>
    </row>
    <row r="1597" spans="2:8" x14ac:dyDescent="0.55000000000000004">
      <c r="B1597" s="7"/>
      <c r="D1597" t="s">
        <v>4713</v>
      </c>
      <c r="E1597">
        <v>0</v>
      </c>
      <c r="F1597" t="s">
        <v>4714</v>
      </c>
      <c r="G1597" t="s">
        <v>4715</v>
      </c>
      <c r="H1597" t="s">
        <v>4716</v>
      </c>
    </row>
    <row r="1598" spans="2:8" x14ac:dyDescent="0.55000000000000004">
      <c r="B1598" s="7"/>
      <c r="D1598" t="s">
        <v>4717</v>
      </c>
      <c r="E1598">
        <v>0</v>
      </c>
      <c r="F1598" t="s">
        <v>4718</v>
      </c>
      <c r="G1598" t="s">
        <v>4719</v>
      </c>
      <c r="H1598" t="s">
        <v>4720</v>
      </c>
    </row>
    <row r="1599" spans="2:8" x14ac:dyDescent="0.55000000000000004">
      <c r="B1599" s="7"/>
      <c r="D1599" t="s">
        <v>4721</v>
      </c>
      <c r="E1599">
        <v>0</v>
      </c>
      <c r="F1599" t="s">
        <v>4722</v>
      </c>
      <c r="G1599" t="s">
        <v>4723</v>
      </c>
      <c r="H1599" t="s">
        <v>4724</v>
      </c>
    </row>
    <row r="1600" spans="2:8" x14ac:dyDescent="0.55000000000000004">
      <c r="B1600" s="7"/>
      <c r="D1600" t="s">
        <v>4725</v>
      </c>
      <c r="E1600">
        <v>0</v>
      </c>
      <c r="F1600" t="s">
        <v>4529</v>
      </c>
      <c r="G1600" t="s">
        <v>4726</v>
      </c>
      <c r="H1600" t="s">
        <v>4727</v>
      </c>
    </row>
    <row r="1601" spans="2:8" x14ac:dyDescent="0.55000000000000004">
      <c r="B1601" s="7"/>
      <c r="D1601" t="s">
        <v>4728</v>
      </c>
      <c r="E1601">
        <v>0</v>
      </c>
      <c r="F1601" t="s">
        <v>4729</v>
      </c>
      <c r="G1601" t="s">
        <v>4730</v>
      </c>
      <c r="H1601" t="s">
        <v>4731</v>
      </c>
    </row>
    <row r="1602" spans="2:8" x14ac:dyDescent="0.55000000000000004">
      <c r="B1602" s="7"/>
      <c r="D1602" t="s">
        <v>4732</v>
      </c>
      <c r="E1602">
        <v>0</v>
      </c>
      <c r="F1602" t="s">
        <v>4733</v>
      </c>
      <c r="G1602" t="s">
        <v>4734</v>
      </c>
      <c r="H1602" t="s">
        <v>4735</v>
      </c>
    </row>
    <row r="1603" spans="2:8" x14ac:dyDescent="0.55000000000000004">
      <c r="B1603" s="7"/>
      <c r="D1603" t="s">
        <v>4736</v>
      </c>
      <c r="E1603">
        <v>0</v>
      </c>
      <c r="F1603" t="s">
        <v>4737</v>
      </c>
      <c r="G1603" t="s">
        <v>4738</v>
      </c>
      <c r="H1603" t="s">
        <v>4739</v>
      </c>
    </row>
    <row r="1604" spans="2:8" x14ac:dyDescent="0.55000000000000004">
      <c r="B1604" s="7"/>
      <c r="D1604" t="s">
        <v>4740</v>
      </c>
      <c r="E1604">
        <v>0</v>
      </c>
      <c r="F1604" t="s">
        <v>4537</v>
      </c>
      <c r="G1604" t="s">
        <v>4741</v>
      </c>
      <c r="H1604" t="s">
        <v>4742</v>
      </c>
    </row>
    <row r="1605" spans="2:8" x14ac:dyDescent="0.55000000000000004">
      <c r="B1605" s="7"/>
      <c r="D1605" t="s">
        <v>4743</v>
      </c>
      <c r="E1605">
        <v>0</v>
      </c>
      <c r="F1605" t="s">
        <v>4744</v>
      </c>
      <c r="G1605" t="s">
        <v>4745</v>
      </c>
      <c r="H1605" t="s">
        <v>4746</v>
      </c>
    </row>
    <row r="1606" spans="2:8" x14ac:dyDescent="0.55000000000000004">
      <c r="B1606" s="7"/>
      <c r="D1606" t="s">
        <v>4747</v>
      </c>
      <c r="E1606">
        <v>0</v>
      </c>
      <c r="F1606" t="s">
        <v>4607</v>
      </c>
      <c r="G1606" t="s">
        <v>4748</v>
      </c>
      <c r="H1606" t="s">
        <v>4749</v>
      </c>
    </row>
    <row r="1607" spans="2:8" x14ac:dyDescent="0.55000000000000004">
      <c r="B1607" s="7"/>
      <c r="D1607" t="s">
        <v>4750</v>
      </c>
      <c r="E1607">
        <v>0</v>
      </c>
      <c r="F1607" t="s">
        <v>1566</v>
      </c>
      <c r="G1607" t="s">
        <v>4751</v>
      </c>
      <c r="H1607" t="s">
        <v>4752</v>
      </c>
    </row>
    <row r="1608" spans="2:8" x14ac:dyDescent="0.55000000000000004">
      <c r="B1608" s="7"/>
      <c r="D1608" t="s">
        <v>4753</v>
      </c>
      <c r="E1608">
        <v>0</v>
      </c>
      <c r="F1608" t="s">
        <v>4754</v>
      </c>
      <c r="G1608" t="s">
        <v>4755</v>
      </c>
      <c r="H1608" t="s">
        <v>4756</v>
      </c>
    </row>
    <row r="1609" spans="2:8" x14ac:dyDescent="0.55000000000000004">
      <c r="B1609" s="7"/>
      <c r="D1609" t="s">
        <v>4757</v>
      </c>
      <c r="E1609">
        <v>0</v>
      </c>
      <c r="F1609" t="s">
        <v>4758</v>
      </c>
      <c r="G1609" t="s">
        <v>4759</v>
      </c>
      <c r="H1609" t="s">
        <v>4760</v>
      </c>
    </row>
    <row r="1610" spans="2:8" x14ac:dyDescent="0.55000000000000004">
      <c r="B1610" s="7"/>
      <c r="D1610" t="s">
        <v>4761</v>
      </c>
      <c r="E1610">
        <v>0</v>
      </c>
      <c r="F1610" t="s">
        <v>4762</v>
      </c>
      <c r="G1610" t="s">
        <v>4763</v>
      </c>
      <c r="H1610" t="s">
        <v>4764</v>
      </c>
    </row>
    <row r="1611" spans="2:8" x14ac:dyDescent="0.55000000000000004">
      <c r="B1611" s="7"/>
      <c r="D1611" t="s">
        <v>4765</v>
      </c>
      <c r="E1611">
        <v>0</v>
      </c>
      <c r="F1611" t="s">
        <v>4766</v>
      </c>
      <c r="G1611" t="s">
        <v>4767</v>
      </c>
      <c r="H1611" t="s">
        <v>4768</v>
      </c>
    </row>
    <row r="1612" spans="2:8" x14ac:dyDescent="0.55000000000000004">
      <c r="B1612" s="7"/>
      <c r="D1612" t="s">
        <v>4769</v>
      </c>
      <c r="E1612">
        <v>0</v>
      </c>
      <c r="F1612" t="s">
        <v>4770</v>
      </c>
      <c r="G1612" t="s">
        <v>4771</v>
      </c>
      <c r="H1612" t="s">
        <v>4772</v>
      </c>
    </row>
    <row r="1613" spans="2:8" x14ac:dyDescent="0.55000000000000004">
      <c r="B1613" s="7"/>
      <c r="D1613" t="s">
        <v>4773</v>
      </c>
      <c r="E1613">
        <v>0</v>
      </c>
      <c r="F1613" t="s">
        <v>4774</v>
      </c>
      <c r="G1613" t="s">
        <v>4775</v>
      </c>
      <c r="H1613" t="s">
        <v>4776</v>
      </c>
    </row>
    <row r="1614" spans="2:8" x14ac:dyDescent="0.55000000000000004">
      <c r="B1614" s="7"/>
      <c r="D1614" t="s">
        <v>4777</v>
      </c>
      <c r="E1614">
        <v>0</v>
      </c>
      <c r="F1614" t="s">
        <v>4778</v>
      </c>
      <c r="G1614" t="s">
        <v>4779</v>
      </c>
      <c r="H1614" t="s">
        <v>4780</v>
      </c>
    </row>
    <row r="1615" spans="2:8" x14ac:dyDescent="0.55000000000000004">
      <c r="B1615" s="7"/>
      <c r="D1615" t="s">
        <v>4781</v>
      </c>
      <c r="E1615">
        <v>0</v>
      </c>
      <c r="F1615" t="s">
        <v>1191</v>
      </c>
      <c r="G1615" t="s">
        <v>4782</v>
      </c>
      <c r="H1615" t="s">
        <v>4783</v>
      </c>
    </row>
    <row r="1616" spans="2:8" x14ac:dyDescent="0.55000000000000004">
      <c r="B1616" s="7"/>
      <c r="D1616" t="s">
        <v>4784</v>
      </c>
      <c r="E1616">
        <v>0</v>
      </c>
      <c r="F1616" t="s">
        <v>4785</v>
      </c>
      <c r="G1616" t="s">
        <v>4786</v>
      </c>
      <c r="H1616" t="s">
        <v>4787</v>
      </c>
    </row>
    <row r="1617" spans="2:8" x14ac:dyDescent="0.55000000000000004">
      <c r="B1617" s="7"/>
      <c r="D1617" t="s">
        <v>4788</v>
      </c>
      <c r="E1617">
        <v>0</v>
      </c>
      <c r="F1617" t="s">
        <v>1967</v>
      </c>
      <c r="G1617" t="s">
        <v>4789</v>
      </c>
      <c r="H1617" t="s">
        <v>4790</v>
      </c>
    </row>
    <row r="1618" spans="2:8" x14ac:dyDescent="0.55000000000000004">
      <c r="B1618" s="7"/>
      <c r="D1618" t="s">
        <v>4791</v>
      </c>
      <c r="E1618">
        <v>0</v>
      </c>
      <c r="F1618" t="s">
        <v>4792</v>
      </c>
      <c r="G1618" t="s">
        <v>4793</v>
      </c>
      <c r="H1618" t="s">
        <v>4794</v>
      </c>
    </row>
    <row r="1619" spans="2:8" x14ac:dyDescent="0.55000000000000004">
      <c r="B1619" s="7"/>
      <c r="D1619" t="s">
        <v>4795</v>
      </c>
      <c r="E1619">
        <v>0</v>
      </c>
      <c r="F1619" t="s">
        <v>2716</v>
      </c>
      <c r="G1619" t="s">
        <v>4796</v>
      </c>
      <c r="H1619" t="s">
        <v>4797</v>
      </c>
    </row>
    <row r="1620" spans="2:8" x14ac:dyDescent="0.55000000000000004">
      <c r="B1620" s="7"/>
      <c r="D1620" t="s">
        <v>4798</v>
      </c>
      <c r="E1620">
        <v>0</v>
      </c>
      <c r="F1620" t="s">
        <v>2402</v>
      </c>
      <c r="G1620" t="s">
        <v>4799</v>
      </c>
      <c r="H1620" t="s">
        <v>4800</v>
      </c>
    </row>
    <row r="1621" spans="2:8" x14ac:dyDescent="0.55000000000000004">
      <c r="B1621" s="7"/>
      <c r="D1621" t="s">
        <v>4801</v>
      </c>
      <c r="E1621">
        <v>0</v>
      </c>
      <c r="F1621" t="s">
        <v>4802</v>
      </c>
      <c r="G1621" t="s">
        <v>4803</v>
      </c>
      <c r="H1621" t="s">
        <v>4804</v>
      </c>
    </row>
    <row r="1622" spans="2:8" x14ac:dyDescent="0.55000000000000004">
      <c r="B1622" s="7"/>
      <c r="D1622" t="s">
        <v>4805</v>
      </c>
      <c r="E1622">
        <v>0</v>
      </c>
      <c r="F1622" t="s">
        <v>4806</v>
      </c>
      <c r="G1622" t="s">
        <v>4807</v>
      </c>
      <c r="H1622" t="s">
        <v>4808</v>
      </c>
    </row>
    <row r="1623" spans="2:8" x14ac:dyDescent="0.55000000000000004">
      <c r="B1623" s="7"/>
      <c r="D1623" t="s">
        <v>4809</v>
      </c>
      <c r="E1623">
        <v>0</v>
      </c>
      <c r="F1623" t="s">
        <v>4810</v>
      </c>
      <c r="G1623" t="s">
        <v>4811</v>
      </c>
      <c r="H1623" t="s">
        <v>4812</v>
      </c>
    </row>
    <row r="1624" spans="2:8" x14ac:dyDescent="0.55000000000000004">
      <c r="B1624" s="7"/>
      <c r="D1624" t="s">
        <v>4813</v>
      </c>
      <c r="E1624">
        <v>0</v>
      </c>
      <c r="F1624" t="s">
        <v>2011</v>
      </c>
      <c r="G1624" t="s">
        <v>4814</v>
      </c>
      <c r="H1624" t="s">
        <v>4815</v>
      </c>
    </row>
    <row r="1625" spans="2:8" x14ac:dyDescent="0.55000000000000004">
      <c r="B1625" s="7"/>
      <c r="D1625" t="s">
        <v>4816</v>
      </c>
      <c r="E1625">
        <v>0</v>
      </c>
      <c r="F1625" t="s">
        <v>4817</v>
      </c>
      <c r="G1625" t="s">
        <v>4818</v>
      </c>
      <c r="H1625" t="s">
        <v>4819</v>
      </c>
    </row>
    <row r="1626" spans="2:8" x14ac:dyDescent="0.55000000000000004">
      <c r="B1626" s="7"/>
      <c r="D1626" t="s">
        <v>4820</v>
      </c>
      <c r="E1626">
        <v>0</v>
      </c>
      <c r="F1626" t="s">
        <v>4821</v>
      </c>
      <c r="G1626" t="s">
        <v>4822</v>
      </c>
      <c r="H1626" t="s">
        <v>4823</v>
      </c>
    </row>
    <row r="1627" spans="2:8" x14ac:dyDescent="0.55000000000000004">
      <c r="B1627" s="7"/>
      <c r="D1627" t="s">
        <v>4824</v>
      </c>
      <c r="E1627">
        <v>0</v>
      </c>
      <c r="F1627" t="s">
        <v>4825</v>
      </c>
      <c r="G1627" t="s">
        <v>4826</v>
      </c>
      <c r="H1627" t="s">
        <v>4827</v>
      </c>
    </row>
    <row r="1628" spans="2:8" x14ac:dyDescent="0.55000000000000004">
      <c r="B1628" s="7"/>
      <c r="D1628" t="s">
        <v>4828</v>
      </c>
      <c r="E1628">
        <v>0</v>
      </c>
      <c r="F1628" t="s">
        <v>4829</v>
      </c>
      <c r="G1628" t="s">
        <v>4830</v>
      </c>
      <c r="H1628" t="s">
        <v>4831</v>
      </c>
    </row>
    <row r="1629" spans="2:8" x14ac:dyDescent="0.55000000000000004">
      <c r="B1629" s="7"/>
      <c r="D1629" t="s">
        <v>4832</v>
      </c>
      <c r="E1629">
        <v>0</v>
      </c>
      <c r="F1629" t="s">
        <v>4833</v>
      </c>
      <c r="G1629" t="s">
        <v>4834</v>
      </c>
      <c r="H1629" t="s">
        <v>4835</v>
      </c>
    </row>
    <row r="1630" spans="2:8" x14ac:dyDescent="0.55000000000000004">
      <c r="B1630" s="7"/>
      <c r="D1630" t="s">
        <v>4836</v>
      </c>
      <c r="E1630">
        <v>0</v>
      </c>
      <c r="F1630" t="s">
        <v>4837</v>
      </c>
      <c r="G1630" t="s">
        <v>4838</v>
      </c>
      <c r="H1630" t="s">
        <v>4839</v>
      </c>
    </row>
    <row r="1631" spans="2:8" x14ac:dyDescent="0.55000000000000004">
      <c r="B1631" s="7"/>
      <c r="D1631" t="s">
        <v>4840</v>
      </c>
      <c r="E1631">
        <v>0</v>
      </c>
      <c r="F1631" t="s">
        <v>4841</v>
      </c>
      <c r="G1631" t="s">
        <v>4842</v>
      </c>
      <c r="H1631" t="s">
        <v>4843</v>
      </c>
    </row>
    <row r="1632" spans="2:8" x14ac:dyDescent="0.55000000000000004">
      <c r="B1632" s="7"/>
      <c r="D1632" t="s">
        <v>4844</v>
      </c>
      <c r="E1632">
        <v>0</v>
      </c>
      <c r="F1632" t="s">
        <v>4845</v>
      </c>
      <c r="G1632" t="s">
        <v>4846</v>
      </c>
      <c r="H1632" t="s">
        <v>4847</v>
      </c>
    </row>
    <row r="1633" spans="2:8" x14ac:dyDescent="0.55000000000000004">
      <c r="B1633" s="7"/>
      <c r="D1633" t="s">
        <v>4848</v>
      </c>
      <c r="E1633">
        <v>0</v>
      </c>
      <c r="F1633" t="s">
        <v>4849</v>
      </c>
      <c r="G1633" t="s">
        <v>4850</v>
      </c>
      <c r="H1633" t="s">
        <v>4851</v>
      </c>
    </row>
    <row r="1634" spans="2:8" x14ac:dyDescent="0.55000000000000004">
      <c r="B1634" s="7"/>
      <c r="D1634" t="s">
        <v>4852</v>
      </c>
      <c r="E1634">
        <v>0</v>
      </c>
      <c r="F1634" t="s">
        <v>1847</v>
      </c>
      <c r="G1634" t="s">
        <v>4853</v>
      </c>
      <c r="H1634" t="s">
        <v>4854</v>
      </c>
    </row>
    <row r="1635" spans="2:8" x14ac:dyDescent="0.55000000000000004">
      <c r="B1635" s="7"/>
      <c r="D1635" t="s">
        <v>4855</v>
      </c>
      <c r="E1635">
        <v>0</v>
      </c>
      <c r="F1635" t="s">
        <v>4856</v>
      </c>
      <c r="G1635" t="s">
        <v>4857</v>
      </c>
      <c r="H1635" t="s">
        <v>4858</v>
      </c>
    </row>
    <row r="1636" spans="2:8" x14ac:dyDescent="0.55000000000000004">
      <c r="B1636" s="7"/>
      <c r="D1636" t="s">
        <v>4859</v>
      </c>
      <c r="E1636">
        <v>0</v>
      </c>
      <c r="F1636" t="s">
        <v>4860</v>
      </c>
      <c r="G1636" t="s">
        <v>4861</v>
      </c>
      <c r="H1636" t="s">
        <v>4862</v>
      </c>
    </row>
    <row r="1637" spans="2:8" x14ac:dyDescent="0.55000000000000004">
      <c r="B1637" s="7"/>
      <c r="D1637" t="s">
        <v>4863</v>
      </c>
      <c r="E1637">
        <v>0</v>
      </c>
      <c r="F1637" t="s">
        <v>4864</v>
      </c>
      <c r="G1637" t="s">
        <v>4865</v>
      </c>
      <c r="H1637" t="s">
        <v>4866</v>
      </c>
    </row>
    <row r="1638" spans="2:8" x14ac:dyDescent="0.55000000000000004">
      <c r="B1638" s="7"/>
      <c r="D1638" t="s">
        <v>4867</v>
      </c>
      <c r="E1638">
        <v>0</v>
      </c>
      <c r="F1638" t="s">
        <v>4868</v>
      </c>
      <c r="G1638" t="s">
        <v>4869</v>
      </c>
      <c r="H1638" t="s">
        <v>4870</v>
      </c>
    </row>
    <row r="1639" spans="2:8" x14ac:dyDescent="0.55000000000000004">
      <c r="B1639" s="7"/>
      <c r="D1639" t="s">
        <v>4871</v>
      </c>
      <c r="E1639">
        <v>0</v>
      </c>
      <c r="F1639" t="s">
        <v>4872</v>
      </c>
      <c r="G1639" t="s">
        <v>4873</v>
      </c>
      <c r="H1639" t="s">
        <v>4874</v>
      </c>
    </row>
    <row r="1640" spans="2:8" x14ac:dyDescent="0.55000000000000004">
      <c r="B1640" s="7"/>
      <c r="D1640" t="s">
        <v>4875</v>
      </c>
      <c r="E1640">
        <v>0</v>
      </c>
      <c r="F1640" t="s">
        <v>4876</v>
      </c>
      <c r="G1640" t="s">
        <v>4877</v>
      </c>
      <c r="H1640" t="s">
        <v>4878</v>
      </c>
    </row>
    <row r="1641" spans="2:8" x14ac:dyDescent="0.55000000000000004">
      <c r="B1641" s="7"/>
      <c r="D1641" t="s">
        <v>4879</v>
      </c>
      <c r="E1641">
        <v>0</v>
      </c>
      <c r="F1641" t="s">
        <v>4880</v>
      </c>
      <c r="G1641" t="s">
        <v>4881</v>
      </c>
      <c r="H1641" t="s">
        <v>4882</v>
      </c>
    </row>
    <row r="1642" spans="2:8" x14ac:dyDescent="0.55000000000000004">
      <c r="B1642" s="7"/>
      <c r="D1642" t="s">
        <v>4883</v>
      </c>
      <c r="E1642">
        <v>0</v>
      </c>
      <c r="F1642" t="s">
        <v>4884</v>
      </c>
      <c r="G1642" t="s">
        <v>4885</v>
      </c>
      <c r="H1642" t="s">
        <v>4886</v>
      </c>
    </row>
    <row r="1643" spans="2:8" x14ac:dyDescent="0.55000000000000004">
      <c r="B1643" s="7"/>
      <c r="D1643" t="s">
        <v>4887</v>
      </c>
      <c r="E1643">
        <v>0</v>
      </c>
      <c r="F1643" t="s">
        <v>4888</v>
      </c>
      <c r="G1643" t="s">
        <v>4889</v>
      </c>
      <c r="H1643" t="s">
        <v>4890</v>
      </c>
    </row>
    <row r="1644" spans="2:8" x14ac:dyDescent="0.55000000000000004">
      <c r="B1644" s="7"/>
      <c r="D1644" t="s">
        <v>4891</v>
      </c>
      <c r="E1644">
        <v>0</v>
      </c>
      <c r="F1644" t="s">
        <v>4892</v>
      </c>
      <c r="G1644" t="s">
        <v>4893</v>
      </c>
      <c r="H1644" t="s">
        <v>4894</v>
      </c>
    </row>
    <row r="1645" spans="2:8" x14ac:dyDescent="0.55000000000000004">
      <c r="B1645" s="7"/>
      <c r="D1645" t="s">
        <v>4895</v>
      </c>
      <c r="E1645">
        <v>0</v>
      </c>
      <c r="F1645" t="s">
        <v>2636</v>
      </c>
      <c r="G1645" t="s">
        <v>4896</v>
      </c>
      <c r="H1645" t="s">
        <v>4897</v>
      </c>
    </row>
    <row r="1646" spans="2:8" x14ac:dyDescent="0.55000000000000004">
      <c r="B1646" s="7"/>
      <c r="D1646" t="s">
        <v>4898</v>
      </c>
      <c r="E1646">
        <v>0</v>
      </c>
      <c r="F1646" t="s">
        <v>4899</v>
      </c>
      <c r="G1646" t="s">
        <v>4900</v>
      </c>
      <c r="H1646" t="s">
        <v>4901</v>
      </c>
    </row>
    <row r="1647" spans="2:8" x14ac:dyDescent="0.55000000000000004">
      <c r="B1647" s="7"/>
      <c r="D1647" t="s">
        <v>4902</v>
      </c>
      <c r="E1647">
        <v>0</v>
      </c>
      <c r="F1647" t="s">
        <v>4903</v>
      </c>
      <c r="G1647" t="s">
        <v>4904</v>
      </c>
      <c r="H1647" t="s">
        <v>4905</v>
      </c>
    </row>
    <row r="1648" spans="2:8" x14ac:dyDescent="0.55000000000000004">
      <c r="B1648" s="7"/>
      <c r="D1648" t="s">
        <v>4906</v>
      </c>
      <c r="E1648">
        <v>0</v>
      </c>
      <c r="F1648" t="s">
        <v>4907</v>
      </c>
      <c r="G1648" t="s">
        <v>4908</v>
      </c>
      <c r="H1648" t="s">
        <v>4909</v>
      </c>
    </row>
    <row r="1649" spans="2:8" x14ac:dyDescent="0.55000000000000004">
      <c r="B1649" s="7"/>
      <c r="D1649" t="s">
        <v>4910</v>
      </c>
      <c r="E1649">
        <v>0</v>
      </c>
      <c r="F1649" t="s">
        <v>4911</v>
      </c>
      <c r="G1649" t="s">
        <v>4912</v>
      </c>
      <c r="H1649" t="s">
        <v>4913</v>
      </c>
    </row>
    <row r="1650" spans="2:8" x14ac:dyDescent="0.55000000000000004">
      <c r="B1650" s="7"/>
      <c r="D1650" t="s">
        <v>4914</v>
      </c>
      <c r="E1650">
        <v>0</v>
      </c>
      <c r="F1650" t="s">
        <v>4915</v>
      </c>
      <c r="G1650" t="s">
        <v>4916</v>
      </c>
      <c r="H1650" t="s">
        <v>4917</v>
      </c>
    </row>
    <row r="1651" spans="2:8" x14ac:dyDescent="0.55000000000000004">
      <c r="B1651" s="7"/>
      <c r="D1651" t="s">
        <v>4918</v>
      </c>
      <c r="E1651">
        <v>0</v>
      </c>
      <c r="F1651" t="s">
        <v>4919</v>
      </c>
      <c r="G1651" t="s">
        <v>4920</v>
      </c>
      <c r="H1651" t="s">
        <v>4921</v>
      </c>
    </row>
    <row r="1652" spans="2:8" x14ac:dyDescent="0.55000000000000004">
      <c r="B1652" s="7"/>
      <c r="D1652" t="s">
        <v>4922</v>
      </c>
      <c r="E1652">
        <v>0</v>
      </c>
      <c r="F1652" t="s">
        <v>4923</v>
      </c>
      <c r="G1652" t="s">
        <v>4924</v>
      </c>
      <c r="H1652" t="s">
        <v>4925</v>
      </c>
    </row>
    <row r="1653" spans="2:8" x14ac:dyDescent="0.55000000000000004">
      <c r="B1653" s="7"/>
      <c r="D1653" t="s">
        <v>4926</v>
      </c>
      <c r="E1653">
        <v>0</v>
      </c>
      <c r="F1653" t="s">
        <v>4927</v>
      </c>
      <c r="G1653" t="s">
        <v>4928</v>
      </c>
      <c r="H1653" t="s">
        <v>4929</v>
      </c>
    </row>
    <row r="1654" spans="2:8" x14ac:dyDescent="0.55000000000000004">
      <c r="B1654" s="7"/>
      <c r="D1654" t="s">
        <v>4930</v>
      </c>
      <c r="E1654">
        <v>0</v>
      </c>
      <c r="F1654" t="s">
        <v>4931</v>
      </c>
      <c r="G1654" t="s">
        <v>4932</v>
      </c>
      <c r="H1654" t="s">
        <v>4933</v>
      </c>
    </row>
    <row r="1655" spans="2:8" x14ac:dyDescent="0.55000000000000004">
      <c r="B1655" s="7"/>
      <c r="D1655" t="s">
        <v>4935</v>
      </c>
      <c r="E1655">
        <v>0</v>
      </c>
      <c r="F1655" t="s">
        <v>4936</v>
      </c>
      <c r="G1655" t="s">
        <v>4937</v>
      </c>
      <c r="H1655" t="s">
        <v>4938</v>
      </c>
    </row>
    <row r="1656" spans="2:8" x14ac:dyDescent="0.55000000000000004">
      <c r="B1656" s="7"/>
      <c r="D1656" t="s">
        <v>4939</v>
      </c>
      <c r="E1656">
        <v>0</v>
      </c>
      <c r="F1656" t="s">
        <v>4934</v>
      </c>
      <c r="G1656" t="s">
        <v>4940</v>
      </c>
      <c r="H1656" t="s">
        <v>4941</v>
      </c>
    </row>
    <row r="1657" spans="2:8" x14ac:dyDescent="0.55000000000000004">
      <c r="B1657" s="7"/>
      <c r="D1657" t="s">
        <v>4942</v>
      </c>
      <c r="E1657">
        <v>0</v>
      </c>
      <c r="F1657" t="s">
        <v>4943</v>
      </c>
      <c r="G1657" t="s">
        <v>4944</v>
      </c>
      <c r="H1657" t="s">
        <v>4945</v>
      </c>
    </row>
    <row r="1658" spans="2:8" x14ac:dyDescent="0.55000000000000004">
      <c r="B1658" s="7"/>
      <c r="D1658" t="s">
        <v>4946</v>
      </c>
      <c r="E1658">
        <v>0</v>
      </c>
      <c r="F1658" t="s">
        <v>4947</v>
      </c>
      <c r="G1658" t="s">
        <v>4948</v>
      </c>
      <c r="H1658" t="s">
        <v>4949</v>
      </c>
    </row>
    <row r="1659" spans="2:8" x14ac:dyDescent="0.55000000000000004">
      <c r="B1659" s="7"/>
      <c r="D1659" t="s">
        <v>4950</v>
      </c>
      <c r="E1659">
        <v>0</v>
      </c>
      <c r="F1659" t="s">
        <v>4951</v>
      </c>
      <c r="G1659" t="s">
        <v>4952</v>
      </c>
      <c r="H1659" t="s">
        <v>4953</v>
      </c>
    </row>
    <row r="1660" spans="2:8" x14ac:dyDescent="0.55000000000000004">
      <c r="B1660" s="7"/>
      <c r="D1660" t="s">
        <v>4954</v>
      </c>
      <c r="E1660">
        <v>0</v>
      </c>
      <c r="F1660" t="s">
        <v>4955</v>
      </c>
      <c r="G1660" t="s">
        <v>4956</v>
      </c>
      <c r="H1660" t="s">
        <v>4957</v>
      </c>
    </row>
    <row r="1661" spans="2:8" x14ac:dyDescent="0.55000000000000004">
      <c r="B1661" s="7"/>
      <c r="D1661" t="s">
        <v>4958</v>
      </c>
      <c r="E1661">
        <v>0</v>
      </c>
      <c r="F1661" t="s">
        <v>4959</v>
      </c>
      <c r="G1661" t="s">
        <v>4960</v>
      </c>
      <c r="H1661" t="s">
        <v>4961</v>
      </c>
    </row>
    <row r="1662" spans="2:8" x14ac:dyDescent="0.55000000000000004">
      <c r="B1662" s="7"/>
      <c r="D1662" t="s">
        <v>4962</v>
      </c>
      <c r="E1662">
        <v>0</v>
      </c>
      <c r="F1662" t="s">
        <v>4963</v>
      </c>
      <c r="G1662" t="s">
        <v>4964</v>
      </c>
      <c r="H1662" t="s">
        <v>4965</v>
      </c>
    </row>
    <row r="1663" spans="2:8" x14ac:dyDescent="0.55000000000000004">
      <c r="B1663" s="7"/>
      <c r="D1663" t="s">
        <v>4966</v>
      </c>
      <c r="E1663">
        <v>0</v>
      </c>
      <c r="F1663" t="s">
        <v>4967</v>
      </c>
      <c r="G1663" t="s">
        <v>4968</v>
      </c>
      <c r="H1663" t="s">
        <v>4969</v>
      </c>
    </row>
    <row r="1664" spans="2:8" x14ac:dyDescent="0.55000000000000004">
      <c r="B1664" s="7"/>
      <c r="D1664" t="s">
        <v>4970</v>
      </c>
      <c r="E1664">
        <v>0</v>
      </c>
      <c r="F1664" t="s">
        <v>4971</v>
      </c>
      <c r="G1664" t="s">
        <v>4972</v>
      </c>
      <c r="H1664" t="s">
        <v>4973</v>
      </c>
    </row>
    <row r="1665" spans="2:8" x14ac:dyDescent="0.55000000000000004">
      <c r="B1665" s="7"/>
      <c r="D1665" t="s">
        <v>4974</v>
      </c>
      <c r="E1665">
        <v>0</v>
      </c>
      <c r="F1665" t="s">
        <v>4975</v>
      </c>
      <c r="G1665" t="s">
        <v>4976</v>
      </c>
      <c r="H1665" t="s">
        <v>4977</v>
      </c>
    </row>
    <row r="1666" spans="2:8" x14ac:dyDescent="0.55000000000000004">
      <c r="B1666" s="7"/>
      <c r="D1666" t="s">
        <v>4978</v>
      </c>
      <c r="E1666">
        <v>0</v>
      </c>
      <c r="F1666" t="s">
        <v>4979</v>
      </c>
      <c r="G1666" t="s">
        <v>4980</v>
      </c>
      <c r="H1666" t="s">
        <v>4981</v>
      </c>
    </row>
    <row r="1667" spans="2:8" x14ac:dyDescent="0.55000000000000004">
      <c r="B1667" s="7"/>
      <c r="D1667" t="s">
        <v>4982</v>
      </c>
      <c r="E1667">
        <v>0</v>
      </c>
      <c r="F1667" t="s">
        <v>4983</v>
      </c>
      <c r="G1667" t="s">
        <v>4984</v>
      </c>
      <c r="H1667" t="s">
        <v>4985</v>
      </c>
    </row>
    <row r="1668" spans="2:8" x14ac:dyDescent="0.55000000000000004">
      <c r="B1668" s="7"/>
      <c r="D1668" t="s">
        <v>4986</v>
      </c>
      <c r="E1668">
        <v>0</v>
      </c>
      <c r="F1668" t="s">
        <v>4987</v>
      </c>
      <c r="G1668" t="s">
        <v>4988</v>
      </c>
      <c r="H1668" t="s">
        <v>4989</v>
      </c>
    </row>
    <row r="1669" spans="2:8" x14ac:dyDescent="0.55000000000000004">
      <c r="B1669" s="7"/>
      <c r="D1669" t="s">
        <v>4990</v>
      </c>
      <c r="E1669">
        <v>0</v>
      </c>
      <c r="F1669" t="s">
        <v>4991</v>
      </c>
      <c r="G1669" t="s">
        <v>4992</v>
      </c>
      <c r="H1669" t="s">
        <v>4993</v>
      </c>
    </row>
    <row r="1670" spans="2:8" x14ac:dyDescent="0.55000000000000004">
      <c r="B1670" s="7"/>
      <c r="D1670" t="s">
        <v>4994</v>
      </c>
      <c r="E1670">
        <v>0</v>
      </c>
      <c r="F1670" t="s">
        <v>4995</v>
      </c>
      <c r="G1670" t="s">
        <v>4996</v>
      </c>
      <c r="H1670" t="s">
        <v>4997</v>
      </c>
    </row>
    <row r="1671" spans="2:8" x14ac:dyDescent="0.55000000000000004">
      <c r="B1671" s="7"/>
      <c r="D1671" t="s">
        <v>4998</v>
      </c>
      <c r="E1671">
        <v>0</v>
      </c>
      <c r="F1671" t="s">
        <v>4999</v>
      </c>
      <c r="G1671" t="s">
        <v>5000</v>
      </c>
      <c r="H1671" t="s">
        <v>5001</v>
      </c>
    </row>
    <row r="1672" spans="2:8" x14ac:dyDescent="0.55000000000000004">
      <c r="B1672" s="7"/>
      <c r="D1672" t="s">
        <v>5002</v>
      </c>
      <c r="E1672">
        <v>0</v>
      </c>
      <c r="F1672" t="s">
        <v>5003</v>
      </c>
      <c r="G1672" t="s">
        <v>5004</v>
      </c>
      <c r="H1672" t="s">
        <v>5005</v>
      </c>
    </row>
    <row r="1673" spans="2:8" x14ac:dyDescent="0.55000000000000004">
      <c r="B1673" s="7"/>
      <c r="D1673" t="s">
        <v>5006</v>
      </c>
      <c r="E1673">
        <v>0</v>
      </c>
      <c r="F1673" t="s">
        <v>5007</v>
      </c>
      <c r="G1673" t="s">
        <v>5008</v>
      </c>
      <c r="H1673" t="s">
        <v>5009</v>
      </c>
    </row>
    <row r="1674" spans="2:8" x14ac:dyDescent="0.55000000000000004">
      <c r="B1674" s="7"/>
      <c r="D1674" t="s">
        <v>5010</v>
      </c>
      <c r="E1674">
        <v>0</v>
      </c>
      <c r="F1674" t="s">
        <v>5011</v>
      </c>
      <c r="G1674" t="s">
        <v>5012</v>
      </c>
      <c r="H1674" t="s">
        <v>5013</v>
      </c>
    </row>
    <row r="1675" spans="2:8" x14ac:dyDescent="0.55000000000000004">
      <c r="B1675" s="7"/>
      <c r="D1675" t="s">
        <v>5014</v>
      </c>
      <c r="E1675">
        <v>0</v>
      </c>
      <c r="F1675" t="s">
        <v>5015</v>
      </c>
      <c r="G1675" t="s">
        <v>5016</v>
      </c>
      <c r="H1675" t="s">
        <v>5017</v>
      </c>
    </row>
    <row r="1676" spans="2:8" x14ac:dyDescent="0.55000000000000004">
      <c r="B1676" s="7"/>
      <c r="D1676" t="s">
        <v>5018</v>
      </c>
      <c r="E1676">
        <v>0</v>
      </c>
      <c r="F1676" t="s">
        <v>5019</v>
      </c>
      <c r="G1676" t="s">
        <v>5020</v>
      </c>
      <c r="H1676" t="s">
        <v>5021</v>
      </c>
    </row>
    <row r="1677" spans="2:8" x14ac:dyDescent="0.55000000000000004">
      <c r="B1677" s="7"/>
      <c r="D1677" t="s">
        <v>5022</v>
      </c>
      <c r="E1677">
        <v>0</v>
      </c>
      <c r="F1677" t="s">
        <v>5023</v>
      </c>
      <c r="G1677" t="s">
        <v>5024</v>
      </c>
      <c r="H1677" t="s">
        <v>5025</v>
      </c>
    </row>
    <row r="1678" spans="2:8" x14ac:dyDescent="0.55000000000000004">
      <c r="B1678" s="7"/>
      <c r="D1678" t="s">
        <v>5026</v>
      </c>
      <c r="E1678">
        <v>0</v>
      </c>
      <c r="F1678" t="s">
        <v>5027</v>
      </c>
      <c r="G1678" t="s">
        <v>5028</v>
      </c>
      <c r="H1678" t="s">
        <v>5029</v>
      </c>
    </row>
    <row r="1679" spans="2:8" x14ac:dyDescent="0.55000000000000004">
      <c r="B1679" s="7"/>
      <c r="D1679" t="s">
        <v>5030</v>
      </c>
      <c r="E1679">
        <v>0</v>
      </c>
      <c r="F1679" t="s">
        <v>5031</v>
      </c>
      <c r="G1679" t="s">
        <v>5032</v>
      </c>
      <c r="H1679" t="s">
        <v>5033</v>
      </c>
    </row>
    <row r="1680" spans="2:8" x14ac:dyDescent="0.55000000000000004">
      <c r="B1680" s="7"/>
      <c r="D1680" t="s">
        <v>5034</v>
      </c>
      <c r="E1680">
        <v>0</v>
      </c>
      <c r="F1680" t="s">
        <v>5035</v>
      </c>
      <c r="G1680" t="s">
        <v>5036</v>
      </c>
      <c r="H1680" t="s">
        <v>5037</v>
      </c>
    </row>
    <row r="1681" spans="2:8" x14ac:dyDescent="0.55000000000000004">
      <c r="B1681" s="7"/>
      <c r="D1681" t="s">
        <v>5038</v>
      </c>
      <c r="E1681">
        <v>0</v>
      </c>
      <c r="F1681" t="s">
        <v>5039</v>
      </c>
      <c r="G1681" t="s">
        <v>5040</v>
      </c>
      <c r="H1681" t="s">
        <v>5041</v>
      </c>
    </row>
    <row r="1682" spans="2:8" x14ac:dyDescent="0.55000000000000004">
      <c r="B1682" s="7"/>
      <c r="D1682" t="s">
        <v>5042</v>
      </c>
      <c r="E1682">
        <v>0</v>
      </c>
      <c r="F1682" t="s">
        <v>1651</v>
      </c>
      <c r="G1682" t="s">
        <v>5043</v>
      </c>
      <c r="H1682" t="s">
        <v>5044</v>
      </c>
    </row>
    <row r="1683" spans="2:8" x14ac:dyDescent="0.55000000000000004">
      <c r="B1683" s="7"/>
      <c r="D1683" t="s">
        <v>5045</v>
      </c>
      <c r="E1683">
        <v>0</v>
      </c>
      <c r="F1683" t="s">
        <v>5046</v>
      </c>
      <c r="G1683" t="s">
        <v>5047</v>
      </c>
      <c r="H1683" t="s">
        <v>5048</v>
      </c>
    </row>
    <row r="1684" spans="2:8" x14ac:dyDescent="0.55000000000000004">
      <c r="B1684" s="7"/>
      <c r="D1684" t="s">
        <v>5049</v>
      </c>
      <c r="E1684">
        <v>0</v>
      </c>
      <c r="F1684" t="s">
        <v>5050</v>
      </c>
      <c r="G1684" t="s">
        <v>5051</v>
      </c>
      <c r="H1684" t="s">
        <v>5052</v>
      </c>
    </row>
    <row r="1685" spans="2:8" x14ac:dyDescent="0.55000000000000004">
      <c r="B1685" s="7"/>
      <c r="D1685" t="s">
        <v>5053</v>
      </c>
      <c r="E1685">
        <v>0</v>
      </c>
      <c r="F1685" t="s">
        <v>5054</v>
      </c>
      <c r="G1685" t="s">
        <v>5055</v>
      </c>
      <c r="H1685" t="s">
        <v>5056</v>
      </c>
    </row>
    <row r="1686" spans="2:8" x14ac:dyDescent="0.55000000000000004">
      <c r="B1686" s="7"/>
      <c r="D1686" t="s">
        <v>5057</v>
      </c>
      <c r="E1686">
        <v>0</v>
      </c>
      <c r="F1686" t="s">
        <v>5058</v>
      </c>
      <c r="G1686" t="s">
        <v>5059</v>
      </c>
      <c r="H1686" t="s">
        <v>5060</v>
      </c>
    </row>
    <row r="1687" spans="2:8" x14ac:dyDescent="0.55000000000000004">
      <c r="B1687" s="7"/>
      <c r="D1687" t="s">
        <v>5061</v>
      </c>
      <c r="E1687">
        <v>0</v>
      </c>
      <c r="F1687" t="s">
        <v>5062</v>
      </c>
      <c r="G1687" t="s">
        <v>5063</v>
      </c>
      <c r="H1687" t="s">
        <v>5064</v>
      </c>
    </row>
    <row r="1688" spans="2:8" x14ac:dyDescent="0.55000000000000004">
      <c r="B1688" s="7"/>
      <c r="D1688" t="s">
        <v>5065</v>
      </c>
      <c r="E1688">
        <v>0</v>
      </c>
      <c r="F1688" t="s">
        <v>5066</v>
      </c>
      <c r="G1688" t="s">
        <v>5067</v>
      </c>
      <c r="H1688" t="s">
        <v>5068</v>
      </c>
    </row>
    <row r="1689" spans="2:8" x14ac:dyDescent="0.55000000000000004">
      <c r="B1689" s="7"/>
      <c r="D1689" t="s">
        <v>5069</v>
      </c>
      <c r="E1689">
        <v>0</v>
      </c>
      <c r="F1689" t="s">
        <v>5070</v>
      </c>
      <c r="G1689" t="s">
        <v>5071</v>
      </c>
      <c r="H1689" t="s">
        <v>5072</v>
      </c>
    </row>
    <row r="1690" spans="2:8" x14ac:dyDescent="0.55000000000000004">
      <c r="B1690" s="7"/>
      <c r="D1690" t="s">
        <v>5073</v>
      </c>
      <c r="E1690">
        <v>0</v>
      </c>
      <c r="F1690" t="s">
        <v>5074</v>
      </c>
      <c r="G1690" t="s">
        <v>5075</v>
      </c>
      <c r="H1690" t="s">
        <v>5076</v>
      </c>
    </row>
    <row r="1691" spans="2:8" x14ac:dyDescent="0.55000000000000004">
      <c r="B1691" s="7"/>
      <c r="D1691" t="s">
        <v>5077</v>
      </c>
      <c r="E1691">
        <v>0</v>
      </c>
      <c r="F1691" t="s">
        <v>1349</v>
      </c>
      <c r="G1691" t="s">
        <v>5078</v>
      </c>
      <c r="H1691" t="s">
        <v>5079</v>
      </c>
    </row>
    <row r="1692" spans="2:8" x14ac:dyDescent="0.55000000000000004">
      <c r="B1692" s="7"/>
      <c r="D1692" t="s">
        <v>5080</v>
      </c>
      <c r="E1692">
        <v>0</v>
      </c>
      <c r="F1692" t="s">
        <v>5081</v>
      </c>
      <c r="G1692" t="s">
        <v>5082</v>
      </c>
      <c r="H1692" t="s">
        <v>5083</v>
      </c>
    </row>
    <row r="1693" spans="2:8" x14ac:dyDescent="0.55000000000000004">
      <c r="B1693" s="7"/>
      <c r="D1693" t="s">
        <v>5084</v>
      </c>
      <c r="E1693">
        <v>0</v>
      </c>
      <c r="F1693" t="s">
        <v>5085</v>
      </c>
      <c r="G1693" t="s">
        <v>5086</v>
      </c>
      <c r="H1693" t="s">
        <v>5087</v>
      </c>
    </row>
    <row r="1694" spans="2:8" x14ac:dyDescent="0.55000000000000004">
      <c r="B1694" s="7"/>
      <c r="D1694" t="s">
        <v>5088</v>
      </c>
      <c r="E1694">
        <v>0</v>
      </c>
      <c r="F1694" t="s">
        <v>1523</v>
      </c>
      <c r="G1694" t="s">
        <v>5089</v>
      </c>
      <c r="H1694" t="s">
        <v>5090</v>
      </c>
    </row>
    <row r="1695" spans="2:8" x14ac:dyDescent="0.55000000000000004">
      <c r="B1695" s="7"/>
      <c r="D1695" t="s">
        <v>5091</v>
      </c>
      <c r="E1695">
        <v>0</v>
      </c>
      <c r="F1695" t="s">
        <v>1731</v>
      </c>
      <c r="G1695" t="s">
        <v>5092</v>
      </c>
      <c r="H1695" t="s">
        <v>5093</v>
      </c>
    </row>
    <row r="1696" spans="2:8" x14ac:dyDescent="0.55000000000000004">
      <c r="B1696" s="7"/>
      <c r="D1696" t="s">
        <v>5094</v>
      </c>
      <c r="E1696">
        <v>0</v>
      </c>
      <c r="F1696" t="s">
        <v>5095</v>
      </c>
      <c r="G1696" t="s">
        <v>5096</v>
      </c>
      <c r="H1696" t="s">
        <v>5097</v>
      </c>
    </row>
    <row r="1697" spans="2:8" x14ac:dyDescent="0.55000000000000004">
      <c r="B1697" s="7"/>
      <c r="D1697" t="s">
        <v>5098</v>
      </c>
      <c r="E1697">
        <v>0</v>
      </c>
      <c r="F1697" t="s">
        <v>5099</v>
      </c>
      <c r="G1697" t="s">
        <v>5100</v>
      </c>
      <c r="H1697" t="s">
        <v>5101</v>
      </c>
    </row>
    <row r="1698" spans="2:8" x14ac:dyDescent="0.55000000000000004">
      <c r="B1698" s="7"/>
      <c r="D1698" t="s">
        <v>5102</v>
      </c>
      <c r="E1698">
        <v>0</v>
      </c>
      <c r="F1698" t="s">
        <v>5103</v>
      </c>
      <c r="G1698" t="s">
        <v>5104</v>
      </c>
      <c r="H1698" t="s">
        <v>5105</v>
      </c>
    </row>
    <row r="1699" spans="2:8" x14ac:dyDescent="0.55000000000000004">
      <c r="B1699" s="7"/>
      <c r="D1699" t="s">
        <v>5106</v>
      </c>
      <c r="E1699">
        <v>0</v>
      </c>
      <c r="F1699" t="s">
        <v>5107</v>
      </c>
      <c r="G1699" t="s">
        <v>5108</v>
      </c>
      <c r="H1699" t="s">
        <v>5109</v>
      </c>
    </row>
    <row r="1700" spans="2:8" x14ac:dyDescent="0.55000000000000004">
      <c r="B1700" s="7"/>
      <c r="D1700" t="s">
        <v>5110</v>
      </c>
      <c r="E1700">
        <v>0</v>
      </c>
      <c r="F1700" t="s">
        <v>5111</v>
      </c>
      <c r="G1700" t="s">
        <v>5112</v>
      </c>
      <c r="H1700" t="s">
        <v>5113</v>
      </c>
    </row>
    <row r="1701" spans="2:8" x14ac:dyDescent="0.55000000000000004">
      <c r="B1701" s="7"/>
      <c r="D1701" t="s">
        <v>5114</v>
      </c>
      <c r="E1701">
        <v>0</v>
      </c>
      <c r="F1701" t="s">
        <v>5115</v>
      </c>
      <c r="G1701" t="s">
        <v>5116</v>
      </c>
      <c r="H1701" t="s">
        <v>5117</v>
      </c>
    </row>
    <row r="1702" spans="2:8" x14ac:dyDescent="0.55000000000000004">
      <c r="B1702" s="7"/>
      <c r="D1702" t="s">
        <v>5118</v>
      </c>
      <c r="E1702">
        <v>0</v>
      </c>
      <c r="F1702" t="s">
        <v>5119</v>
      </c>
      <c r="G1702" t="s">
        <v>5120</v>
      </c>
      <c r="H1702" t="s">
        <v>5121</v>
      </c>
    </row>
    <row r="1703" spans="2:8" x14ac:dyDescent="0.55000000000000004">
      <c r="B1703" s="7"/>
      <c r="D1703" t="s">
        <v>5123</v>
      </c>
      <c r="E1703">
        <v>0</v>
      </c>
      <c r="F1703" t="s">
        <v>5124</v>
      </c>
      <c r="G1703" t="s">
        <v>5125</v>
      </c>
      <c r="H1703" t="s">
        <v>5126</v>
      </c>
    </row>
    <row r="1704" spans="2:8" x14ac:dyDescent="0.55000000000000004">
      <c r="B1704" s="7"/>
      <c r="D1704" t="s">
        <v>5127</v>
      </c>
      <c r="E1704">
        <v>0</v>
      </c>
      <c r="F1704" t="s">
        <v>5128</v>
      </c>
      <c r="G1704" t="s">
        <v>5129</v>
      </c>
      <c r="H1704" t="s">
        <v>5130</v>
      </c>
    </row>
    <row r="1705" spans="2:8" x14ac:dyDescent="0.55000000000000004">
      <c r="B1705" s="7"/>
      <c r="D1705" t="s">
        <v>5131</v>
      </c>
      <c r="E1705">
        <v>0</v>
      </c>
      <c r="F1705" t="s">
        <v>5132</v>
      </c>
      <c r="G1705" t="s">
        <v>5133</v>
      </c>
      <c r="H1705" t="s">
        <v>5134</v>
      </c>
    </row>
    <row r="1706" spans="2:8" x14ac:dyDescent="0.55000000000000004">
      <c r="B1706" s="7"/>
      <c r="D1706" t="s">
        <v>5135</v>
      </c>
      <c r="E1706">
        <v>0</v>
      </c>
      <c r="F1706" t="s">
        <v>5122</v>
      </c>
      <c r="G1706" t="s">
        <v>5136</v>
      </c>
      <c r="H1706" t="s">
        <v>5137</v>
      </c>
    </row>
    <row r="1707" spans="2:8" x14ac:dyDescent="0.55000000000000004">
      <c r="B1707" s="7"/>
      <c r="D1707" t="s">
        <v>5138</v>
      </c>
      <c r="E1707">
        <v>0</v>
      </c>
      <c r="F1707" t="s">
        <v>5139</v>
      </c>
      <c r="G1707" t="s">
        <v>5140</v>
      </c>
      <c r="H1707" t="s">
        <v>5141</v>
      </c>
    </row>
    <row r="1708" spans="2:8" x14ac:dyDescent="0.55000000000000004">
      <c r="B1708" s="7"/>
      <c r="D1708" t="s">
        <v>5142</v>
      </c>
      <c r="E1708">
        <v>0</v>
      </c>
      <c r="F1708" t="s">
        <v>5143</v>
      </c>
      <c r="G1708" t="s">
        <v>5144</v>
      </c>
      <c r="H1708" t="s">
        <v>5145</v>
      </c>
    </row>
    <row r="1709" spans="2:8" x14ac:dyDescent="0.55000000000000004">
      <c r="B1709" s="7"/>
      <c r="D1709" t="s">
        <v>5146</v>
      </c>
      <c r="E1709">
        <v>0</v>
      </c>
      <c r="F1709" t="s">
        <v>5147</v>
      </c>
      <c r="G1709" t="s">
        <v>5148</v>
      </c>
      <c r="H1709" t="s">
        <v>5149</v>
      </c>
    </row>
    <row r="1710" spans="2:8" x14ac:dyDescent="0.55000000000000004">
      <c r="B1710" s="7"/>
      <c r="D1710" t="s">
        <v>5150</v>
      </c>
      <c r="E1710">
        <v>0</v>
      </c>
      <c r="F1710" t="s">
        <v>5151</v>
      </c>
      <c r="G1710" t="s">
        <v>5152</v>
      </c>
      <c r="H1710" t="s">
        <v>5153</v>
      </c>
    </row>
    <row r="1711" spans="2:8" x14ac:dyDescent="0.55000000000000004">
      <c r="B1711" s="7"/>
      <c r="D1711" t="s">
        <v>5155</v>
      </c>
      <c r="E1711">
        <v>0</v>
      </c>
      <c r="F1711" t="s">
        <v>5156</v>
      </c>
      <c r="G1711" t="s">
        <v>5157</v>
      </c>
      <c r="H1711" t="s">
        <v>5158</v>
      </c>
    </row>
    <row r="1712" spans="2:8" x14ac:dyDescent="0.55000000000000004">
      <c r="B1712" s="7"/>
      <c r="D1712" t="s">
        <v>5159</v>
      </c>
      <c r="E1712">
        <v>0</v>
      </c>
      <c r="F1712" t="s">
        <v>5160</v>
      </c>
      <c r="G1712" t="s">
        <v>5161</v>
      </c>
      <c r="H1712" t="s">
        <v>5162</v>
      </c>
    </row>
    <row r="1713" spans="2:8" x14ac:dyDescent="0.55000000000000004">
      <c r="B1713" s="7"/>
      <c r="D1713" t="s">
        <v>5163</v>
      </c>
      <c r="E1713">
        <v>0</v>
      </c>
      <c r="F1713" t="s">
        <v>5164</v>
      </c>
      <c r="G1713" t="s">
        <v>5165</v>
      </c>
      <c r="H1713" t="s">
        <v>5166</v>
      </c>
    </row>
    <row r="1714" spans="2:8" x14ac:dyDescent="0.55000000000000004">
      <c r="B1714" s="7"/>
      <c r="D1714" t="s">
        <v>5167</v>
      </c>
      <c r="E1714">
        <v>0</v>
      </c>
      <c r="F1714" t="s">
        <v>5168</v>
      </c>
      <c r="G1714" t="s">
        <v>5169</v>
      </c>
      <c r="H1714" t="s">
        <v>5170</v>
      </c>
    </row>
    <row r="1715" spans="2:8" x14ac:dyDescent="0.55000000000000004">
      <c r="B1715" s="7"/>
      <c r="D1715" t="s">
        <v>5171</v>
      </c>
      <c r="E1715">
        <v>0</v>
      </c>
      <c r="F1715" t="s">
        <v>5172</v>
      </c>
      <c r="G1715" t="s">
        <v>5173</v>
      </c>
      <c r="H1715" t="s">
        <v>5174</v>
      </c>
    </row>
    <row r="1716" spans="2:8" x14ac:dyDescent="0.55000000000000004">
      <c r="B1716" s="7"/>
      <c r="D1716" t="s">
        <v>5175</v>
      </c>
      <c r="E1716">
        <v>0</v>
      </c>
      <c r="F1716" t="s">
        <v>5176</v>
      </c>
      <c r="G1716" t="s">
        <v>5177</v>
      </c>
      <c r="H1716" t="s">
        <v>5178</v>
      </c>
    </row>
    <row r="1717" spans="2:8" x14ac:dyDescent="0.55000000000000004">
      <c r="B1717" s="7"/>
      <c r="D1717" t="s">
        <v>5179</v>
      </c>
      <c r="E1717">
        <v>0</v>
      </c>
      <c r="F1717" t="s">
        <v>5154</v>
      </c>
      <c r="G1717" t="s">
        <v>5180</v>
      </c>
      <c r="H1717" t="s">
        <v>5181</v>
      </c>
    </row>
    <row r="1718" spans="2:8" x14ac:dyDescent="0.55000000000000004">
      <c r="B1718" s="7"/>
      <c r="D1718" t="s">
        <v>5182</v>
      </c>
      <c r="E1718">
        <v>0</v>
      </c>
      <c r="F1718" t="s">
        <v>5183</v>
      </c>
      <c r="G1718" t="s">
        <v>5184</v>
      </c>
      <c r="H1718" t="s">
        <v>5185</v>
      </c>
    </row>
    <row r="1719" spans="2:8" x14ac:dyDescent="0.55000000000000004">
      <c r="B1719" s="7"/>
      <c r="D1719" t="s">
        <v>5186</v>
      </c>
      <c r="E1719">
        <v>0</v>
      </c>
      <c r="F1719" t="s">
        <v>5187</v>
      </c>
      <c r="G1719" t="s">
        <v>5188</v>
      </c>
      <c r="H1719" t="s">
        <v>5189</v>
      </c>
    </row>
    <row r="1720" spans="2:8" x14ac:dyDescent="0.55000000000000004">
      <c r="B1720" s="7"/>
      <c r="D1720" t="s">
        <v>5190</v>
      </c>
      <c r="E1720">
        <v>0</v>
      </c>
      <c r="F1720" t="s">
        <v>5191</v>
      </c>
      <c r="G1720" t="s">
        <v>5192</v>
      </c>
      <c r="H1720" t="s">
        <v>5193</v>
      </c>
    </row>
    <row r="1721" spans="2:8" x14ac:dyDescent="0.55000000000000004">
      <c r="B1721" s="7"/>
      <c r="D1721" t="s">
        <v>5194</v>
      </c>
      <c r="E1721">
        <v>0</v>
      </c>
      <c r="F1721" t="s">
        <v>5195</v>
      </c>
      <c r="G1721" t="s">
        <v>5196</v>
      </c>
      <c r="H1721" t="s">
        <v>5197</v>
      </c>
    </row>
    <row r="1722" spans="2:8" x14ac:dyDescent="0.55000000000000004">
      <c r="B1722" s="7"/>
      <c r="D1722" t="s">
        <v>5198</v>
      </c>
      <c r="E1722">
        <v>0</v>
      </c>
      <c r="F1722" t="s">
        <v>5199</v>
      </c>
      <c r="G1722" t="s">
        <v>5200</v>
      </c>
      <c r="H1722" t="s">
        <v>5201</v>
      </c>
    </row>
    <row r="1723" spans="2:8" x14ac:dyDescent="0.55000000000000004">
      <c r="B1723" s="7"/>
      <c r="D1723" t="s">
        <v>5202</v>
      </c>
      <c r="E1723">
        <v>0</v>
      </c>
      <c r="F1723" t="s">
        <v>5203</v>
      </c>
      <c r="G1723" t="s">
        <v>5204</v>
      </c>
      <c r="H1723" t="s">
        <v>5205</v>
      </c>
    </row>
    <row r="1724" spans="2:8" x14ac:dyDescent="0.55000000000000004">
      <c r="B1724" s="7"/>
      <c r="D1724" t="s">
        <v>5206</v>
      </c>
      <c r="E1724">
        <v>0</v>
      </c>
      <c r="F1724" t="s">
        <v>5207</v>
      </c>
      <c r="G1724" t="s">
        <v>5208</v>
      </c>
      <c r="H1724" t="s">
        <v>5209</v>
      </c>
    </row>
    <row r="1725" spans="2:8" x14ac:dyDescent="0.55000000000000004">
      <c r="B1725" s="7"/>
      <c r="D1725" t="s">
        <v>5210</v>
      </c>
      <c r="E1725">
        <v>0</v>
      </c>
      <c r="F1725" t="s">
        <v>5211</v>
      </c>
      <c r="G1725" t="s">
        <v>5212</v>
      </c>
      <c r="H1725" t="s">
        <v>5213</v>
      </c>
    </row>
    <row r="1726" spans="2:8" x14ac:dyDescent="0.55000000000000004">
      <c r="B1726" s="7"/>
      <c r="D1726" t="s">
        <v>5214</v>
      </c>
      <c r="E1726">
        <v>0</v>
      </c>
      <c r="F1726" t="s">
        <v>5215</v>
      </c>
      <c r="G1726" t="s">
        <v>5216</v>
      </c>
      <c r="H1726" t="s">
        <v>5217</v>
      </c>
    </row>
    <row r="1727" spans="2:8" x14ac:dyDescent="0.55000000000000004">
      <c r="B1727" s="7"/>
      <c r="D1727" t="s">
        <v>5218</v>
      </c>
      <c r="E1727">
        <v>0</v>
      </c>
      <c r="F1727" t="s">
        <v>5219</v>
      </c>
      <c r="G1727" t="s">
        <v>5220</v>
      </c>
      <c r="H1727" t="s">
        <v>5221</v>
      </c>
    </row>
    <row r="1728" spans="2:8" x14ac:dyDescent="0.55000000000000004">
      <c r="B1728" s="7"/>
      <c r="D1728" t="s">
        <v>5222</v>
      </c>
      <c r="E1728">
        <v>0</v>
      </c>
      <c r="F1728" t="s">
        <v>5223</v>
      </c>
      <c r="G1728" t="s">
        <v>5224</v>
      </c>
      <c r="H1728" t="s">
        <v>5225</v>
      </c>
    </row>
    <row r="1729" spans="2:8" x14ac:dyDescent="0.55000000000000004">
      <c r="B1729" s="7"/>
      <c r="D1729" t="s">
        <v>5226</v>
      </c>
      <c r="E1729">
        <v>0</v>
      </c>
      <c r="F1729" t="s">
        <v>5227</v>
      </c>
      <c r="G1729" t="s">
        <v>5228</v>
      </c>
      <c r="H1729" t="s">
        <v>5229</v>
      </c>
    </row>
    <row r="1730" spans="2:8" x14ac:dyDescent="0.55000000000000004">
      <c r="B1730" s="7"/>
      <c r="D1730" t="s">
        <v>5230</v>
      </c>
      <c r="E1730">
        <v>0</v>
      </c>
      <c r="F1730" t="s">
        <v>5231</v>
      </c>
      <c r="G1730" t="s">
        <v>5232</v>
      </c>
      <c r="H1730" t="s">
        <v>5233</v>
      </c>
    </row>
    <row r="1731" spans="2:8" x14ac:dyDescent="0.55000000000000004">
      <c r="B1731" s="7"/>
      <c r="D1731" t="s">
        <v>5234</v>
      </c>
      <c r="E1731">
        <v>0</v>
      </c>
      <c r="F1731" t="s">
        <v>4425</v>
      </c>
      <c r="G1731" t="s">
        <v>5235</v>
      </c>
      <c r="H1731" t="s">
        <v>5236</v>
      </c>
    </row>
    <row r="1732" spans="2:8" x14ac:dyDescent="0.55000000000000004">
      <c r="B1732" s="7"/>
      <c r="D1732" t="s">
        <v>5237</v>
      </c>
      <c r="E1732">
        <v>0</v>
      </c>
      <c r="F1732" t="s">
        <v>5238</v>
      </c>
      <c r="G1732" t="s">
        <v>5239</v>
      </c>
      <c r="H1732" t="s">
        <v>5240</v>
      </c>
    </row>
    <row r="1733" spans="2:8" x14ac:dyDescent="0.55000000000000004">
      <c r="B1733" s="7"/>
      <c r="D1733" t="s">
        <v>5241</v>
      </c>
      <c r="E1733">
        <v>0</v>
      </c>
      <c r="F1733" t="s">
        <v>5242</v>
      </c>
      <c r="G1733" t="s">
        <v>5243</v>
      </c>
      <c r="H1733" t="s">
        <v>5244</v>
      </c>
    </row>
    <row r="1734" spans="2:8" x14ac:dyDescent="0.55000000000000004">
      <c r="B1734" s="7"/>
      <c r="D1734" t="s">
        <v>5245</v>
      </c>
      <c r="E1734">
        <v>0</v>
      </c>
      <c r="F1734" t="s">
        <v>5246</v>
      </c>
      <c r="G1734" t="s">
        <v>5247</v>
      </c>
      <c r="H1734" t="s">
        <v>5248</v>
      </c>
    </row>
    <row r="1735" spans="2:8" x14ac:dyDescent="0.55000000000000004">
      <c r="B1735" s="7"/>
      <c r="D1735" t="s">
        <v>5249</v>
      </c>
      <c r="E1735">
        <v>0</v>
      </c>
      <c r="F1735" t="s">
        <v>5250</v>
      </c>
      <c r="G1735" t="s">
        <v>5251</v>
      </c>
      <c r="H1735" t="s">
        <v>5252</v>
      </c>
    </row>
    <row r="1736" spans="2:8" x14ac:dyDescent="0.55000000000000004">
      <c r="B1736" s="7"/>
      <c r="D1736" t="s">
        <v>5253</v>
      </c>
      <c r="E1736">
        <v>0</v>
      </c>
      <c r="F1736" t="s">
        <v>5254</v>
      </c>
      <c r="G1736" t="s">
        <v>5255</v>
      </c>
      <c r="H1736" t="s">
        <v>5256</v>
      </c>
    </row>
    <row r="1737" spans="2:8" x14ac:dyDescent="0.55000000000000004">
      <c r="B1737" s="7"/>
      <c r="D1737" t="s">
        <v>5257</v>
      </c>
      <c r="E1737">
        <v>0</v>
      </c>
      <c r="F1737" t="s">
        <v>5258</v>
      </c>
      <c r="G1737" t="s">
        <v>5259</v>
      </c>
      <c r="H1737" t="s">
        <v>5260</v>
      </c>
    </row>
    <row r="1738" spans="2:8" x14ac:dyDescent="0.55000000000000004">
      <c r="B1738" s="7"/>
      <c r="D1738" t="s">
        <v>5261</v>
      </c>
      <c r="E1738">
        <v>0</v>
      </c>
      <c r="F1738" t="s">
        <v>5262</v>
      </c>
      <c r="G1738" t="s">
        <v>5263</v>
      </c>
      <c r="H1738" t="s">
        <v>5264</v>
      </c>
    </row>
    <row r="1739" spans="2:8" x14ac:dyDescent="0.55000000000000004">
      <c r="B1739" s="7"/>
      <c r="D1739" t="s">
        <v>5265</v>
      </c>
      <c r="E1739">
        <v>0</v>
      </c>
      <c r="F1739" t="s">
        <v>920</v>
      </c>
      <c r="G1739" t="s">
        <v>5266</v>
      </c>
      <c r="H1739" t="s">
        <v>5267</v>
      </c>
    </row>
    <row r="1740" spans="2:8" x14ac:dyDescent="0.55000000000000004">
      <c r="B1740" s="7"/>
      <c r="D1740" t="s">
        <v>5268</v>
      </c>
      <c r="E1740">
        <v>0</v>
      </c>
      <c r="F1740" t="s">
        <v>5269</v>
      </c>
      <c r="G1740" t="s">
        <v>5270</v>
      </c>
      <c r="H1740" t="s">
        <v>5271</v>
      </c>
    </row>
    <row r="1741" spans="2:8" x14ac:dyDescent="0.55000000000000004">
      <c r="B1741" s="7"/>
      <c r="D1741" t="s">
        <v>5272</v>
      </c>
      <c r="E1741">
        <v>0</v>
      </c>
      <c r="F1741" t="s">
        <v>5273</v>
      </c>
      <c r="G1741" t="s">
        <v>5274</v>
      </c>
      <c r="H1741" t="s">
        <v>5275</v>
      </c>
    </row>
    <row r="1742" spans="2:8" x14ac:dyDescent="0.55000000000000004">
      <c r="B1742" s="7"/>
      <c r="D1742" t="s">
        <v>5276</v>
      </c>
      <c r="E1742">
        <v>0</v>
      </c>
      <c r="F1742" t="s">
        <v>5277</v>
      </c>
      <c r="G1742" t="s">
        <v>5278</v>
      </c>
      <c r="H1742" t="s">
        <v>5279</v>
      </c>
    </row>
    <row r="1743" spans="2:8" x14ac:dyDescent="0.55000000000000004">
      <c r="B1743" s="7"/>
      <c r="D1743" t="s">
        <v>5280</v>
      </c>
      <c r="E1743">
        <v>0</v>
      </c>
      <c r="F1743" t="s">
        <v>5281</v>
      </c>
      <c r="G1743" t="s">
        <v>5282</v>
      </c>
      <c r="H1743" t="s">
        <v>5283</v>
      </c>
    </row>
    <row r="1744" spans="2:8" x14ac:dyDescent="0.55000000000000004">
      <c r="B1744" s="7"/>
      <c r="D1744" t="s">
        <v>5284</v>
      </c>
      <c r="E1744">
        <v>0</v>
      </c>
      <c r="F1744" t="s">
        <v>5285</v>
      </c>
      <c r="G1744" t="s">
        <v>5286</v>
      </c>
      <c r="H1744" t="s">
        <v>5287</v>
      </c>
    </row>
    <row r="1745" spans="2:8" x14ac:dyDescent="0.55000000000000004">
      <c r="B1745" s="7"/>
      <c r="D1745" t="s">
        <v>5288</v>
      </c>
      <c r="E1745">
        <v>0</v>
      </c>
      <c r="F1745" t="s">
        <v>5289</v>
      </c>
      <c r="G1745" t="s">
        <v>5290</v>
      </c>
      <c r="H1745" t="s">
        <v>5291</v>
      </c>
    </row>
    <row r="1746" spans="2:8" x14ac:dyDescent="0.55000000000000004">
      <c r="B1746" s="7"/>
      <c r="D1746" t="s">
        <v>5292</v>
      </c>
      <c r="E1746">
        <v>0</v>
      </c>
      <c r="F1746" t="s">
        <v>5293</v>
      </c>
      <c r="G1746" t="s">
        <v>5294</v>
      </c>
      <c r="H1746" t="s">
        <v>5295</v>
      </c>
    </row>
    <row r="1747" spans="2:8" x14ac:dyDescent="0.55000000000000004">
      <c r="B1747" s="7"/>
      <c r="D1747" t="s">
        <v>5296</v>
      </c>
      <c r="E1747">
        <v>0</v>
      </c>
      <c r="F1747" t="s">
        <v>5297</v>
      </c>
      <c r="G1747" t="s">
        <v>5298</v>
      </c>
      <c r="H1747" t="s">
        <v>5299</v>
      </c>
    </row>
    <row r="1748" spans="2:8" x14ac:dyDescent="0.55000000000000004">
      <c r="B1748" s="7"/>
      <c r="D1748" t="s">
        <v>5300</v>
      </c>
      <c r="E1748">
        <v>0</v>
      </c>
      <c r="F1748" t="s">
        <v>5301</v>
      </c>
      <c r="G1748" t="s">
        <v>5302</v>
      </c>
      <c r="H1748" t="s">
        <v>5303</v>
      </c>
    </row>
    <row r="1749" spans="2:8" x14ac:dyDescent="0.55000000000000004">
      <c r="B1749" s="7"/>
      <c r="D1749" t="s">
        <v>5304</v>
      </c>
      <c r="E1749">
        <v>0</v>
      </c>
      <c r="F1749" t="s">
        <v>5305</v>
      </c>
      <c r="G1749" t="s">
        <v>5306</v>
      </c>
      <c r="H1749" t="s">
        <v>5307</v>
      </c>
    </row>
    <row r="1750" spans="2:8" x14ac:dyDescent="0.55000000000000004">
      <c r="B1750" s="7"/>
      <c r="D1750" t="s">
        <v>5308</v>
      </c>
      <c r="E1750">
        <v>0</v>
      </c>
      <c r="F1750" t="s">
        <v>5309</v>
      </c>
      <c r="G1750" t="s">
        <v>5310</v>
      </c>
      <c r="H1750" t="s">
        <v>5311</v>
      </c>
    </row>
    <row r="1751" spans="2:8" x14ac:dyDescent="0.55000000000000004">
      <c r="B1751" s="7"/>
      <c r="D1751" t="s">
        <v>5312</v>
      </c>
      <c r="E1751">
        <v>0</v>
      </c>
      <c r="F1751" t="s">
        <v>5313</v>
      </c>
      <c r="G1751" t="s">
        <v>5314</v>
      </c>
      <c r="H1751" t="s">
        <v>5315</v>
      </c>
    </row>
    <row r="1752" spans="2:8" x14ac:dyDescent="0.55000000000000004">
      <c r="B1752" s="7"/>
      <c r="D1752" t="s">
        <v>5316</v>
      </c>
      <c r="E1752">
        <v>0</v>
      </c>
      <c r="F1752" t="s">
        <v>5317</v>
      </c>
      <c r="G1752" t="s">
        <v>5318</v>
      </c>
      <c r="H1752" t="s">
        <v>5319</v>
      </c>
    </row>
    <row r="1753" spans="2:8" x14ac:dyDescent="0.55000000000000004">
      <c r="B1753" s="7"/>
      <c r="D1753" t="s">
        <v>5320</v>
      </c>
      <c r="E1753">
        <v>0</v>
      </c>
      <c r="F1753" t="s">
        <v>5321</v>
      </c>
      <c r="G1753" t="s">
        <v>5322</v>
      </c>
      <c r="H1753" t="s">
        <v>5323</v>
      </c>
    </row>
    <row r="1754" spans="2:8" x14ac:dyDescent="0.55000000000000004">
      <c r="B1754" s="7"/>
      <c r="D1754" t="s">
        <v>5324</v>
      </c>
      <c r="E1754">
        <v>0</v>
      </c>
      <c r="F1754" t="s">
        <v>5325</v>
      </c>
      <c r="G1754" t="s">
        <v>5326</v>
      </c>
      <c r="H1754" t="s">
        <v>5327</v>
      </c>
    </row>
    <row r="1755" spans="2:8" x14ac:dyDescent="0.55000000000000004">
      <c r="B1755" s="7"/>
      <c r="D1755" t="s">
        <v>5328</v>
      </c>
      <c r="E1755">
        <v>0</v>
      </c>
      <c r="F1755" t="s">
        <v>5329</v>
      </c>
      <c r="G1755" t="s">
        <v>5330</v>
      </c>
      <c r="H1755" t="s">
        <v>5331</v>
      </c>
    </row>
    <row r="1756" spans="2:8" x14ac:dyDescent="0.55000000000000004">
      <c r="B1756" s="7"/>
      <c r="D1756" t="s">
        <v>5332</v>
      </c>
      <c r="E1756">
        <v>0</v>
      </c>
      <c r="F1756" t="s">
        <v>5333</v>
      </c>
      <c r="G1756" t="s">
        <v>5334</v>
      </c>
      <c r="H1756" t="s">
        <v>5335</v>
      </c>
    </row>
    <row r="1757" spans="2:8" x14ac:dyDescent="0.55000000000000004">
      <c r="B1757" s="7"/>
      <c r="D1757" t="s">
        <v>5336</v>
      </c>
      <c r="E1757">
        <v>0</v>
      </c>
      <c r="F1757" t="s">
        <v>5337</v>
      </c>
      <c r="G1757" t="s">
        <v>5338</v>
      </c>
      <c r="H1757" t="s">
        <v>5339</v>
      </c>
    </row>
    <row r="1758" spans="2:8" x14ac:dyDescent="0.55000000000000004">
      <c r="B1758" s="7"/>
      <c r="D1758" t="s">
        <v>5340</v>
      </c>
      <c r="E1758">
        <v>0</v>
      </c>
      <c r="F1758" t="s">
        <v>5341</v>
      </c>
      <c r="G1758" t="s">
        <v>5342</v>
      </c>
      <c r="H1758" t="s">
        <v>5343</v>
      </c>
    </row>
    <row r="1759" spans="2:8" x14ac:dyDescent="0.55000000000000004">
      <c r="B1759" s="7"/>
      <c r="D1759" t="s">
        <v>5344</v>
      </c>
      <c r="E1759">
        <v>0</v>
      </c>
      <c r="F1759" t="s">
        <v>5345</v>
      </c>
      <c r="G1759" t="s">
        <v>5346</v>
      </c>
      <c r="H1759" t="s">
        <v>5347</v>
      </c>
    </row>
    <row r="1760" spans="2:8" x14ac:dyDescent="0.55000000000000004">
      <c r="B1760" s="7"/>
      <c r="D1760" t="s">
        <v>5348</v>
      </c>
      <c r="E1760">
        <v>0</v>
      </c>
      <c r="F1760" t="s">
        <v>5349</v>
      </c>
      <c r="G1760" t="s">
        <v>5350</v>
      </c>
      <c r="H1760" t="s">
        <v>5351</v>
      </c>
    </row>
    <row r="1761" spans="2:8" x14ac:dyDescent="0.55000000000000004">
      <c r="B1761" s="7"/>
      <c r="D1761" t="s">
        <v>5352</v>
      </c>
      <c r="E1761">
        <v>0</v>
      </c>
      <c r="F1761" t="s">
        <v>5353</v>
      </c>
      <c r="G1761" t="s">
        <v>5354</v>
      </c>
      <c r="H1761" t="s">
        <v>5355</v>
      </c>
    </row>
    <row r="1762" spans="2:8" x14ac:dyDescent="0.55000000000000004">
      <c r="B1762" s="7"/>
      <c r="D1762" t="s">
        <v>5356</v>
      </c>
      <c r="E1762">
        <v>0</v>
      </c>
      <c r="F1762" t="s">
        <v>5357</v>
      </c>
      <c r="G1762" t="s">
        <v>5358</v>
      </c>
      <c r="H1762" t="s">
        <v>5359</v>
      </c>
    </row>
    <row r="1763" spans="2:8" x14ac:dyDescent="0.55000000000000004">
      <c r="B1763" s="7"/>
      <c r="D1763" t="s">
        <v>5360</v>
      </c>
      <c r="E1763">
        <v>0</v>
      </c>
      <c r="F1763" t="s">
        <v>5361</v>
      </c>
      <c r="G1763" t="s">
        <v>5362</v>
      </c>
      <c r="H1763" t="s">
        <v>5363</v>
      </c>
    </row>
    <row r="1764" spans="2:8" x14ac:dyDescent="0.55000000000000004">
      <c r="B1764" s="7"/>
      <c r="D1764" t="s">
        <v>5364</v>
      </c>
      <c r="E1764">
        <v>0</v>
      </c>
      <c r="F1764" t="s">
        <v>5365</v>
      </c>
      <c r="G1764" t="s">
        <v>5366</v>
      </c>
      <c r="H1764" t="s">
        <v>5367</v>
      </c>
    </row>
    <row r="1765" spans="2:8" x14ac:dyDescent="0.55000000000000004">
      <c r="B1765" s="7"/>
      <c r="D1765" t="s">
        <v>5368</v>
      </c>
      <c r="E1765">
        <v>0</v>
      </c>
      <c r="F1765" t="s">
        <v>5369</v>
      </c>
      <c r="G1765" t="s">
        <v>5370</v>
      </c>
      <c r="H1765" t="s">
        <v>5371</v>
      </c>
    </row>
    <row r="1766" spans="2:8" x14ac:dyDescent="0.55000000000000004">
      <c r="B1766" s="7"/>
      <c r="D1766" t="s">
        <v>5372</v>
      </c>
      <c r="E1766">
        <v>0</v>
      </c>
      <c r="F1766" t="s">
        <v>5373</v>
      </c>
      <c r="G1766" t="s">
        <v>5374</v>
      </c>
      <c r="H1766" t="s">
        <v>5375</v>
      </c>
    </row>
    <row r="1767" spans="2:8" x14ac:dyDescent="0.55000000000000004">
      <c r="B1767" s="7"/>
      <c r="D1767" t="s">
        <v>5376</v>
      </c>
      <c r="E1767">
        <v>0</v>
      </c>
      <c r="F1767" t="s">
        <v>5377</v>
      </c>
      <c r="G1767" t="s">
        <v>5378</v>
      </c>
      <c r="H1767" t="s">
        <v>5379</v>
      </c>
    </row>
    <row r="1768" spans="2:8" x14ac:dyDescent="0.55000000000000004">
      <c r="B1768" s="7"/>
      <c r="D1768" t="s">
        <v>5380</v>
      </c>
      <c r="E1768">
        <v>0</v>
      </c>
      <c r="F1768" t="s">
        <v>5381</v>
      </c>
      <c r="G1768" t="s">
        <v>5382</v>
      </c>
      <c r="H1768" t="s">
        <v>5383</v>
      </c>
    </row>
    <row r="1769" spans="2:8" x14ac:dyDescent="0.55000000000000004">
      <c r="B1769" s="7"/>
      <c r="D1769" t="s">
        <v>5384</v>
      </c>
      <c r="E1769">
        <v>0</v>
      </c>
      <c r="F1769" t="s">
        <v>4318</v>
      </c>
      <c r="G1769" t="s">
        <v>5385</v>
      </c>
      <c r="H1769" t="s">
        <v>5386</v>
      </c>
    </row>
    <row r="1770" spans="2:8" x14ac:dyDescent="0.55000000000000004">
      <c r="B1770" s="7"/>
      <c r="D1770" t="s">
        <v>5387</v>
      </c>
      <c r="E1770">
        <v>0</v>
      </c>
      <c r="F1770" t="s">
        <v>5388</v>
      </c>
      <c r="G1770" t="s">
        <v>5389</v>
      </c>
      <c r="H1770" t="s">
        <v>5390</v>
      </c>
    </row>
    <row r="1771" spans="2:8" x14ac:dyDescent="0.55000000000000004">
      <c r="B1771" s="7"/>
      <c r="D1771" t="s">
        <v>5391</v>
      </c>
      <c r="E1771">
        <v>0</v>
      </c>
      <c r="F1771" t="s">
        <v>5392</v>
      </c>
      <c r="G1771" t="s">
        <v>5393</v>
      </c>
      <c r="H1771" t="s">
        <v>5394</v>
      </c>
    </row>
    <row r="1772" spans="2:8" x14ac:dyDescent="0.55000000000000004">
      <c r="B1772" s="7"/>
      <c r="D1772" t="s">
        <v>5395</v>
      </c>
      <c r="E1772">
        <v>0</v>
      </c>
      <c r="F1772" t="s">
        <v>5396</v>
      </c>
      <c r="G1772" t="s">
        <v>5397</v>
      </c>
      <c r="H1772" t="s">
        <v>5398</v>
      </c>
    </row>
    <row r="1773" spans="2:8" x14ac:dyDescent="0.55000000000000004">
      <c r="B1773" s="7"/>
      <c r="D1773" t="s">
        <v>5399</v>
      </c>
      <c r="E1773">
        <v>0</v>
      </c>
      <c r="F1773" t="s">
        <v>5400</v>
      </c>
      <c r="G1773" t="s">
        <v>5401</v>
      </c>
      <c r="H1773" t="s">
        <v>5402</v>
      </c>
    </row>
    <row r="1774" spans="2:8" x14ac:dyDescent="0.55000000000000004">
      <c r="B1774" s="7"/>
      <c r="D1774" t="s">
        <v>5403</v>
      </c>
      <c r="E1774">
        <v>0</v>
      </c>
      <c r="F1774" t="s">
        <v>5404</v>
      </c>
      <c r="G1774" t="s">
        <v>5405</v>
      </c>
      <c r="H1774" t="s">
        <v>5406</v>
      </c>
    </row>
    <row r="1775" spans="2:8" x14ac:dyDescent="0.55000000000000004">
      <c r="B1775" s="7"/>
      <c r="D1775" t="s">
        <v>5407</v>
      </c>
      <c r="E1775">
        <v>0</v>
      </c>
      <c r="F1775" t="s">
        <v>1257</v>
      </c>
      <c r="G1775" t="s">
        <v>5408</v>
      </c>
      <c r="H1775" t="s">
        <v>5409</v>
      </c>
    </row>
    <row r="1776" spans="2:8" x14ac:dyDescent="0.55000000000000004">
      <c r="B1776" s="7"/>
      <c r="D1776" t="s">
        <v>5410</v>
      </c>
      <c r="E1776">
        <v>0</v>
      </c>
      <c r="F1776" t="s">
        <v>5411</v>
      </c>
      <c r="G1776" t="s">
        <v>5412</v>
      </c>
      <c r="H1776" t="s">
        <v>5413</v>
      </c>
    </row>
    <row r="1777" spans="2:8" x14ac:dyDescent="0.55000000000000004">
      <c r="B1777" s="7"/>
      <c r="D1777" t="s">
        <v>5414</v>
      </c>
      <c r="E1777">
        <v>0</v>
      </c>
      <c r="F1777" t="s">
        <v>5415</v>
      </c>
      <c r="G1777" t="s">
        <v>5416</v>
      </c>
      <c r="H1777" t="s">
        <v>5417</v>
      </c>
    </row>
    <row r="1778" spans="2:8" x14ac:dyDescent="0.55000000000000004">
      <c r="B1778" s="7"/>
      <c r="D1778" t="s">
        <v>5418</v>
      </c>
      <c r="E1778">
        <v>0</v>
      </c>
      <c r="F1778" t="s">
        <v>5419</v>
      </c>
      <c r="G1778" t="s">
        <v>5420</v>
      </c>
      <c r="H1778" t="s">
        <v>5421</v>
      </c>
    </row>
    <row r="1779" spans="2:8" x14ac:dyDescent="0.55000000000000004">
      <c r="B1779" s="7"/>
      <c r="D1779" t="s">
        <v>5422</v>
      </c>
      <c r="E1779">
        <v>0</v>
      </c>
      <c r="F1779" t="s">
        <v>5423</v>
      </c>
      <c r="G1779" t="s">
        <v>5424</v>
      </c>
      <c r="H1779" t="s">
        <v>5425</v>
      </c>
    </row>
    <row r="1780" spans="2:8" x14ac:dyDescent="0.55000000000000004">
      <c r="B1780" s="7"/>
      <c r="D1780" t="s">
        <v>5426</v>
      </c>
      <c r="E1780">
        <v>0</v>
      </c>
      <c r="F1780" t="s">
        <v>5427</v>
      </c>
      <c r="G1780" t="s">
        <v>5428</v>
      </c>
      <c r="H1780" t="s">
        <v>5429</v>
      </c>
    </row>
    <row r="1781" spans="2:8" x14ac:dyDescent="0.55000000000000004">
      <c r="B1781" s="7"/>
      <c r="D1781" t="s">
        <v>5430</v>
      </c>
      <c r="E1781">
        <v>0</v>
      </c>
      <c r="F1781" t="s">
        <v>5431</v>
      </c>
      <c r="G1781" t="s">
        <v>5432</v>
      </c>
      <c r="H1781" t="s">
        <v>5433</v>
      </c>
    </row>
    <row r="1782" spans="2:8" x14ac:dyDescent="0.55000000000000004">
      <c r="B1782" s="7"/>
      <c r="D1782" t="s">
        <v>5434</v>
      </c>
      <c r="E1782">
        <v>0</v>
      </c>
      <c r="F1782" t="s">
        <v>5435</v>
      </c>
      <c r="G1782" t="s">
        <v>5436</v>
      </c>
      <c r="H1782" t="s">
        <v>5437</v>
      </c>
    </row>
    <row r="1783" spans="2:8" x14ac:dyDescent="0.55000000000000004">
      <c r="B1783" s="7"/>
      <c r="D1783" t="s">
        <v>5438</v>
      </c>
      <c r="E1783">
        <v>0</v>
      </c>
      <c r="F1783" t="s">
        <v>5439</v>
      </c>
      <c r="G1783" t="s">
        <v>5440</v>
      </c>
      <c r="H1783" t="s">
        <v>5441</v>
      </c>
    </row>
    <row r="1784" spans="2:8" x14ac:dyDescent="0.55000000000000004">
      <c r="B1784" s="7"/>
      <c r="D1784" t="s">
        <v>5442</v>
      </c>
      <c r="E1784">
        <v>0</v>
      </c>
      <c r="F1784" t="s">
        <v>5443</v>
      </c>
      <c r="G1784" t="s">
        <v>5444</v>
      </c>
      <c r="H1784" t="s">
        <v>5445</v>
      </c>
    </row>
    <row r="1785" spans="2:8" x14ac:dyDescent="0.55000000000000004">
      <c r="B1785" s="7"/>
      <c r="D1785" t="s">
        <v>5446</v>
      </c>
      <c r="E1785">
        <v>0</v>
      </c>
      <c r="F1785" t="s">
        <v>5447</v>
      </c>
      <c r="G1785" t="s">
        <v>5448</v>
      </c>
      <c r="H1785" t="s">
        <v>5449</v>
      </c>
    </row>
    <row r="1786" spans="2:8" x14ac:dyDescent="0.55000000000000004">
      <c r="B1786" s="7"/>
      <c r="D1786" t="s">
        <v>5450</v>
      </c>
      <c r="E1786">
        <v>0</v>
      </c>
      <c r="F1786" t="s">
        <v>5451</v>
      </c>
      <c r="G1786" t="s">
        <v>5452</v>
      </c>
      <c r="H1786" t="s">
        <v>5453</v>
      </c>
    </row>
    <row r="1787" spans="2:8" x14ac:dyDescent="0.55000000000000004">
      <c r="B1787" s="7"/>
      <c r="D1787" t="s">
        <v>5454</v>
      </c>
      <c r="E1787">
        <v>0</v>
      </c>
      <c r="F1787" t="s">
        <v>4123</v>
      </c>
      <c r="G1787" t="s">
        <v>5455</v>
      </c>
      <c r="H1787" t="s">
        <v>5456</v>
      </c>
    </row>
    <row r="1788" spans="2:8" x14ac:dyDescent="0.55000000000000004">
      <c r="B1788" s="7"/>
      <c r="D1788" t="s">
        <v>5457</v>
      </c>
      <c r="E1788">
        <v>0</v>
      </c>
      <c r="F1788" t="s">
        <v>5458</v>
      </c>
      <c r="G1788" t="s">
        <v>5459</v>
      </c>
      <c r="H1788" t="s">
        <v>5460</v>
      </c>
    </row>
    <row r="1789" spans="2:8" x14ac:dyDescent="0.55000000000000004">
      <c r="B1789" s="7"/>
      <c r="D1789" t="s">
        <v>5461</v>
      </c>
      <c r="E1789">
        <v>0</v>
      </c>
      <c r="F1789" t="s">
        <v>5462</v>
      </c>
      <c r="G1789" t="s">
        <v>5463</v>
      </c>
      <c r="H1789" t="s">
        <v>5464</v>
      </c>
    </row>
    <row r="1790" spans="2:8" x14ac:dyDescent="0.55000000000000004">
      <c r="B1790" s="7"/>
      <c r="D1790" t="s">
        <v>5465</v>
      </c>
      <c r="E1790">
        <v>0</v>
      </c>
      <c r="F1790" t="s">
        <v>5466</v>
      </c>
      <c r="G1790" t="s">
        <v>5467</v>
      </c>
      <c r="H1790" t="s">
        <v>5468</v>
      </c>
    </row>
    <row r="1791" spans="2:8" x14ac:dyDescent="0.55000000000000004">
      <c r="B1791" s="7"/>
      <c r="D1791" t="s">
        <v>5469</v>
      </c>
      <c r="E1791">
        <v>0</v>
      </c>
      <c r="F1791" t="s">
        <v>5470</v>
      </c>
      <c r="G1791" t="s">
        <v>5471</v>
      </c>
      <c r="H1791" t="s">
        <v>5472</v>
      </c>
    </row>
    <row r="1792" spans="2:8" x14ac:dyDescent="0.55000000000000004">
      <c r="B1792" s="7"/>
      <c r="D1792" t="s">
        <v>5473</v>
      </c>
      <c r="E1792">
        <v>0</v>
      </c>
      <c r="F1792" t="s">
        <v>3343</v>
      </c>
      <c r="G1792" t="s">
        <v>5474</v>
      </c>
      <c r="H1792" t="s">
        <v>5475</v>
      </c>
    </row>
    <row r="1793" spans="2:8" x14ac:dyDescent="0.55000000000000004">
      <c r="B1793" s="7"/>
      <c r="D1793" t="s">
        <v>5476</v>
      </c>
      <c r="E1793">
        <v>0</v>
      </c>
      <c r="F1793" t="s">
        <v>5477</v>
      </c>
      <c r="G1793" t="s">
        <v>5478</v>
      </c>
      <c r="H1793" t="s">
        <v>5479</v>
      </c>
    </row>
    <row r="1794" spans="2:8" x14ac:dyDescent="0.55000000000000004">
      <c r="B1794" s="7"/>
      <c r="D1794" t="s">
        <v>5481</v>
      </c>
      <c r="E1794">
        <v>0</v>
      </c>
      <c r="F1794" t="s">
        <v>5482</v>
      </c>
      <c r="G1794" t="s">
        <v>5483</v>
      </c>
      <c r="H1794" t="s">
        <v>5484</v>
      </c>
    </row>
    <row r="1795" spans="2:8" x14ac:dyDescent="0.55000000000000004">
      <c r="B1795" s="7"/>
      <c r="D1795" t="s">
        <v>5485</v>
      </c>
      <c r="E1795">
        <v>0</v>
      </c>
      <c r="F1795" t="s">
        <v>5486</v>
      </c>
      <c r="G1795" t="s">
        <v>5487</v>
      </c>
      <c r="H1795" t="s">
        <v>5488</v>
      </c>
    </row>
    <row r="1796" spans="2:8" x14ac:dyDescent="0.55000000000000004">
      <c r="B1796" s="7"/>
      <c r="D1796" t="s">
        <v>5489</v>
      </c>
      <c r="E1796">
        <v>0</v>
      </c>
      <c r="F1796" t="s">
        <v>5480</v>
      </c>
      <c r="G1796" t="s">
        <v>5490</v>
      </c>
      <c r="H1796" t="s">
        <v>5491</v>
      </c>
    </row>
    <row r="1797" spans="2:8" x14ac:dyDescent="0.55000000000000004">
      <c r="B1797" s="7"/>
      <c r="D1797" t="s">
        <v>5492</v>
      </c>
      <c r="E1797">
        <v>0</v>
      </c>
      <c r="F1797" t="s">
        <v>5493</v>
      </c>
      <c r="G1797" t="s">
        <v>5494</v>
      </c>
      <c r="H1797" t="s">
        <v>5495</v>
      </c>
    </row>
    <row r="1798" spans="2:8" x14ac:dyDescent="0.55000000000000004">
      <c r="B1798" s="7"/>
      <c r="D1798" t="s">
        <v>5496</v>
      </c>
      <c r="E1798">
        <v>0</v>
      </c>
      <c r="F1798" t="s">
        <v>5497</v>
      </c>
      <c r="G1798" t="s">
        <v>5498</v>
      </c>
      <c r="H1798" t="s">
        <v>5499</v>
      </c>
    </row>
    <row r="1799" spans="2:8" x14ac:dyDescent="0.55000000000000004">
      <c r="B1799" s="7"/>
      <c r="D1799" t="s">
        <v>5500</v>
      </c>
      <c r="E1799">
        <v>0</v>
      </c>
      <c r="F1799" t="s">
        <v>3026</v>
      </c>
      <c r="G1799" t="s">
        <v>5501</v>
      </c>
      <c r="H1799" t="s">
        <v>5502</v>
      </c>
    </row>
    <row r="1800" spans="2:8" x14ac:dyDescent="0.55000000000000004">
      <c r="B1800" s="7"/>
      <c r="D1800" t="s">
        <v>5503</v>
      </c>
      <c r="E1800">
        <v>0</v>
      </c>
      <c r="F1800" t="s">
        <v>456</v>
      </c>
      <c r="G1800" t="s">
        <v>5504</v>
      </c>
      <c r="H1800" t="s">
        <v>5505</v>
      </c>
    </row>
    <row r="1801" spans="2:8" x14ac:dyDescent="0.55000000000000004">
      <c r="B1801" s="7"/>
      <c r="D1801" t="s">
        <v>5506</v>
      </c>
      <c r="E1801">
        <v>0</v>
      </c>
      <c r="F1801" t="s">
        <v>5507</v>
      </c>
      <c r="G1801" t="s">
        <v>5508</v>
      </c>
      <c r="H1801" t="s">
        <v>5509</v>
      </c>
    </row>
    <row r="1802" spans="2:8" x14ac:dyDescent="0.55000000000000004">
      <c r="B1802" s="7"/>
      <c r="D1802" t="s">
        <v>5510</v>
      </c>
      <c r="E1802">
        <v>0</v>
      </c>
      <c r="F1802" t="s">
        <v>5511</v>
      </c>
      <c r="G1802" t="s">
        <v>5512</v>
      </c>
      <c r="H1802" t="s">
        <v>5513</v>
      </c>
    </row>
    <row r="1803" spans="2:8" x14ac:dyDescent="0.55000000000000004">
      <c r="B1803" s="7"/>
      <c r="D1803" t="s">
        <v>5514</v>
      </c>
      <c r="E1803">
        <v>0</v>
      </c>
      <c r="F1803" t="s">
        <v>5515</v>
      </c>
      <c r="G1803" t="s">
        <v>5516</v>
      </c>
      <c r="H1803" t="s">
        <v>5517</v>
      </c>
    </row>
    <row r="1804" spans="2:8" x14ac:dyDescent="0.55000000000000004">
      <c r="B1804" s="7"/>
      <c r="D1804" t="s">
        <v>5518</v>
      </c>
      <c r="E1804">
        <v>0</v>
      </c>
      <c r="F1804" t="s">
        <v>4545</v>
      </c>
      <c r="G1804" t="s">
        <v>5519</v>
      </c>
      <c r="H1804" t="s">
        <v>5520</v>
      </c>
    </row>
    <row r="1805" spans="2:8" x14ac:dyDescent="0.55000000000000004">
      <c r="B1805" s="7"/>
      <c r="D1805" t="s">
        <v>5521</v>
      </c>
      <c r="E1805">
        <v>0</v>
      </c>
      <c r="F1805" t="s">
        <v>5522</v>
      </c>
      <c r="G1805" t="s">
        <v>5523</v>
      </c>
      <c r="H1805" t="s">
        <v>5524</v>
      </c>
    </row>
    <row r="1806" spans="2:8" x14ac:dyDescent="0.55000000000000004">
      <c r="B1806" s="7"/>
      <c r="D1806" t="s">
        <v>5525</v>
      </c>
      <c r="E1806">
        <v>0</v>
      </c>
      <c r="F1806" t="s">
        <v>5526</v>
      </c>
      <c r="G1806" t="s">
        <v>5527</v>
      </c>
      <c r="H1806" t="s">
        <v>5528</v>
      </c>
    </row>
    <row r="1807" spans="2:8" x14ac:dyDescent="0.55000000000000004">
      <c r="B1807" s="7"/>
      <c r="D1807" t="s">
        <v>5529</v>
      </c>
      <c r="E1807">
        <v>0</v>
      </c>
      <c r="F1807" t="s">
        <v>5530</v>
      </c>
      <c r="G1807" t="s">
        <v>5531</v>
      </c>
      <c r="H1807" t="s">
        <v>5532</v>
      </c>
    </row>
    <row r="1808" spans="2:8" x14ac:dyDescent="0.55000000000000004">
      <c r="B1808" s="7"/>
      <c r="D1808" t="s">
        <v>5533</v>
      </c>
      <c r="E1808">
        <v>0</v>
      </c>
      <c r="F1808" t="s">
        <v>5534</v>
      </c>
      <c r="G1808" t="s">
        <v>5535</v>
      </c>
      <c r="H1808" t="s">
        <v>5536</v>
      </c>
    </row>
    <row r="1809" spans="2:8" x14ac:dyDescent="0.55000000000000004">
      <c r="B1809" s="7"/>
      <c r="D1809" t="s">
        <v>5538</v>
      </c>
      <c r="E1809">
        <v>0</v>
      </c>
      <c r="F1809" t="s">
        <v>428</v>
      </c>
      <c r="G1809" t="s">
        <v>5539</v>
      </c>
      <c r="H1809" t="s">
        <v>5540</v>
      </c>
    </row>
    <row r="1810" spans="2:8" x14ac:dyDescent="0.55000000000000004">
      <c r="B1810" s="7"/>
      <c r="D1810" t="s">
        <v>5541</v>
      </c>
      <c r="E1810">
        <v>0</v>
      </c>
      <c r="F1810" t="s">
        <v>5542</v>
      </c>
      <c r="G1810" t="s">
        <v>5543</v>
      </c>
      <c r="H1810" t="s">
        <v>5544</v>
      </c>
    </row>
    <row r="1811" spans="2:8" x14ac:dyDescent="0.55000000000000004">
      <c r="B1811" s="7"/>
      <c r="D1811" t="s">
        <v>5545</v>
      </c>
      <c r="E1811">
        <v>0</v>
      </c>
      <c r="F1811" t="s">
        <v>5546</v>
      </c>
      <c r="G1811" t="s">
        <v>5547</v>
      </c>
      <c r="H1811" t="s">
        <v>5548</v>
      </c>
    </row>
    <row r="1812" spans="2:8" x14ac:dyDescent="0.55000000000000004">
      <c r="B1812" s="7"/>
      <c r="D1812" t="s">
        <v>5549</v>
      </c>
      <c r="E1812">
        <v>0</v>
      </c>
      <c r="F1812" t="s">
        <v>5550</v>
      </c>
      <c r="G1812" t="s">
        <v>5551</v>
      </c>
      <c r="H1812" t="s">
        <v>5552</v>
      </c>
    </row>
    <row r="1813" spans="2:8" x14ac:dyDescent="0.55000000000000004">
      <c r="B1813" s="7"/>
      <c r="D1813" t="s">
        <v>5553</v>
      </c>
      <c r="E1813">
        <v>0</v>
      </c>
      <c r="F1813" t="s">
        <v>5554</v>
      </c>
      <c r="G1813" t="s">
        <v>5555</v>
      </c>
      <c r="H1813" t="s">
        <v>5556</v>
      </c>
    </row>
    <row r="1814" spans="2:8" x14ac:dyDescent="0.55000000000000004">
      <c r="B1814" s="7"/>
      <c r="D1814" t="s">
        <v>5557</v>
      </c>
      <c r="E1814">
        <v>0</v>
      </c>
      <c r="F1814" t="s">
        <v>5558</v>
      </c>
      <c r="G1814" t="s">
        <v>5559</v>
      </c>
      <c r="H1814" t="s">
        <v>5560</v>
      </c>
    </row>
    <row r="1815" spans="2:8" x14ac:dyDescent="0.55000000000000004">
      <c r="B1815" s="7"/>
      <c r="D1815" t="s">
        <v>5561</v>
      </c>
      <c r="E1815">
        <v>0</v>
      </c>
      <c r="F1815" t="s">
        <v>5562</v>
      </c>
      <c r="G1815" t="s">
        <v>5563</v>
      </c>
      <c r="H1815" t="s">
        <v>5564</v>
      </c>
    </row>
    <row r="1816" spans="2:8" x14ac:dyDescent="0.55000000000000004">
      <c r="B1816" s="7"/>
      <c r="D1816" t="s">
        <v>5565</v>
      </c>
      <c r="E1816">
        <v>0</v>
      </c>
      <c r="F1816" t="s">
        <v>3855</v>
      </c>
      <c r="G1816" t="s">
        <v>5566</v>
      </c>
      <c r="H1816" t="s">
        <v>5567</v>
      </c>
    </row>
    <row r="1817" spans="2:8" x14ac:dyDescent="0.55000000000000004">
      <c r="B1817" s="7"/>
      <c r="D1817" t="s">
        <v>5568</v>
      </c>
      <c r="E1817">
        <v>0</v>
      </c>
      <c r="F1817" t="s">
        <v>5569</v>
      </c>
      <c r="G1817" t="s">
        <v>5570</v>
      </c>
      <c r="H1817" t="s">
        <v>5571</v>
      </c>
    </row>
    <row r="1818" spans="2:8" x14ac:dyDescent="0.55000000000000004">
      <c r="B1818" s="7"/>
      <c r="D1818" t="s">
        <v>5572</v>
      </c>
      <c r="E1818">
        <v>0</v>
      </c>
      <c r="F1818" t="s">
        <v>5573</v>
      </c>
      <c r="G1818" t="s">
        <v>5574</v>
      </c>
      <c r="H1818" t="s">
        <v>5575</v>
      </c>
    </row>
    <row r="1819" spans="2:8" x14ac:dyDescent="0.55000000000000004">
      <c r="B1819" s="7"/>
      <c r="D1819" t="s">
        <v>5576</v>
      </c>
      <c r="E1819">
        <v>0</v>
      </c>
      <c r="F1819" t="s">
        <v>5577</v>
      </c>
      <c r="G1819" t="s">
        <v>5578</v>
      </c>
      <c r="H1819" t="s">
        <v>5579</v>
      </c>
    </row>
    <row r="1820" spans="2:8" x14ac:dyDescent="0.55000000000000004">
      <c r="B1820" s="7"/>
      <c r="D1820" t="s">
        <v>5580</v>
      </c>
      <c r="E1820">
        <v>0</v>
      </c>
      <c r="F1820" t="s">
        <v>5581</v>
      </c>
      <c r="G1820" t="s">
        <v>5582</v>
      </c>
      <c r="H1820" t="s">
        <v>5583</v>
      </c>
    </row>
    <row r="1821" spans="2:8" x14ac:dyDescent="0.55000000000000004">
      <c r="B1821" s="7"/>
      <c r="D1821" t="s">
        <v>5584</v>
      </c>
      <c r="E1821">
        <v>0</v>
      </c>
      <c r="F1821" t="s">
        <v>5585</v>
      </c>
      <c r="G1821" t="s">
        <v>5586</v>
      </c>
      <c r="H1821" t="s">
        <v>5587</v>
      </c>
    </row>
    <row r="1822" spans="2:8" x14ac:dyDescent="0.55000000000000004">
      <c r="B1822" s="7"/>
      <c r="D1822" t="s">
        <v>5588</v>
      </c>
      <c r="E1822">
        <v>0</v>
      </c>
      <c r="F1822" t="s">
        <v>5589</v>
      </c>
      <c r="G1822" t="s">
        <v>5590</v>
      </c>
      <c r="H1822" t="s">
        <v>5591</v>
      </c>
    </row>
    <row r="1823" spans="2:8" x14ac:dyDescent="0.55000000000000004">
      <c r="B1823" s="7"/>
      <c r="D1823" t="s">
        <v>5592</v>
      </c>
      <c r="E1823">
        <v>0</v>
      </c>
      <c r="F1823" t="s">
        <v>5593</v>
      </c>
      <c r="G1823" t="s">
        <v>5594</v>
      </c>
      <c r="H1823" t="s">
        <v>5595</v>
      </c>
    </row>
    <row r="1824" spans="2:8" x14ac:dyDescent="0.55000000000000004">
      <c r="B1824" s="7"/>
      <c r="D1824" t="s">
        <v>5596</v>
      </c>
      <c r="E1824">
        <v>0</v>
      </c>
      <c r="F1824" t="s">
        <v>5537</v>
      </c>
      <c r="G1824" t="s">
        <v>5597</v>
      </c>
      <c r="H1824" t="s">
        <v>5598</v>
      </c>
    </row>
    <row r="1825" spans="2:8" x14ac:dyDescent="0.55000000000000004">
      <c r="B1825" s="7"/>
      <c r="D1825" t="s">
        <v>5599</v>
      </c>
      <c r="E1825">
        <v>0</v>
      </c>
      <c r="F1825" t="s">
        <v>5600</v>
      </c>
      <c r="G1825" t="s">
        <v>5601</v>
      </c>
      <c r="H1825" t="s">
        <v>5602</v>
      </c>
    </row>
    <row r="1826" spans="2:8" x14ac:dyDescent="0.55000000000000004">
      <c r="B1826" s="7"/>
      <c r="D1826" t="s">
        <v>5603</v>
      </c>
      <c r="E1826">
        <v>0</v>
      </c>
      <c r="F1826" t="s">
        <v>5604</v>
      </c>
      <c r="G1826" t="s">
        <v>5605</v>
      </c>
      <c r="H1826" t="s">
        <v>5606</v>
      </c>
    </row>
    <row r="1827" spans="2:8" x14ac:dyDescent="0.55000000000000004">
      <c r="B1827" s="7"/>
      <c r="D1827" t="s">
        <v>5607</v>
      </c>
      <c r="E1827">
        <v>0</v>
      </c>
      <c r="F1827" t="s">
        <v>5608</v>
      </c>
      <c r="G1827" t="s">
        <v>5609</v>
      </c>
      <c r="H1827" t="s">
        <v>5610</v>
      </c>
    </row>
    <row r="1828" spans="2:8" x14ac:dyDescent="0.55000000000000004">
      <c r="B1828" s="7"/>
      <c r="D1828" t="s">
        <v>5611</v>
      </c>
      <c r="E1828">
        <v>0</v>
      </c>
      <c r="F1828" t="s">
        <v>5612</v>
      </c>
      <c r="G1828" t="s">
        <v>5613</v>
      </c>
      <c r="H1828" t="s">
        <v>5614</v>
      </c>
    </row>
    <row r="1829" spans="2:8" x14ac:dyDescent="0.55000000000000004">
      <c r="B1829" s="7"/>
      <c r="D1829" t="s">
        <v>5615</v>
      </c>
      <c r="E1829">
        <v>0</v>
      </c>
      <c r="F1829" t="s">
        <v>5616</v>
      </c>
      <c r="G1829" t="s">
        <v>5617</v>
      </c>
      <c r="H1829" t="s">
        <v>5618</v>
      </c>
    </row>
    <row r="1830" spans="2:8" x14ac:dyDescent="0.55000000000000004">
      <c r="B1830" s="7"/>
      <c r="D1830" t="s">
        <v>5619</v>
      </c>
      <c r="E1830">
        <v>0</v>
      </c>
      <c r="F1830" t="s">
        <v>5620</v>
      </c>
      <c r="G1830" t="s">
        <v>5621</v>
      </c>
      <c r="H1830" t="s">
        <v>5622</v>
      </c>
    </row>
    <row r="1831" spans="2:8" x14ac:dyDescent="0.55000000000000004">
      <c r="B1831" s="7"/>
      <c r="D1831" t="s">
        <v>5623</v>
      </c>
      <c r="E1831">
        <v>0</v>
      </c>
      <c r="F1831" t="s">
        <v>818</v>
      </c>
      <c r="G1831" t="s">
        <v>5624</v>
      </c>
      <c r="H1831" t="s">
        <v>5625</v>
      </c>
    </row>
    <row r="1832" spans="2:8" x14ac:dyDescent="0.55000000000000004">
      <c r="B1832" s="7"/>
      <c r="D1832" t="s">
        <v>5626</v>
      </c>
      <c r="E1832">
        <v>0</v>
      </c>
      <c r="F1832" t="s">
        <v>5627</v>
      </c>
      <c r="G1832" t="s">
        <v>5628</v>
      </c>
      <c r="H1832" t="s">
        <v>5629</v>
      </c>
    </row>
    <row r="1833" spans="2:8" x14ac:dyDescent="0.55000000000000004">
      <c r="B1833" s="7"/>
      <c r="D1833" t="s">
        <v>5630</v>
      </c>
      <c r="E1833">
        <v>0</v>
      </c>
      <c r="F1833" t="s">
        <v>4677</v>
      </c>
      <c r="G1833" t="s">
        <v>5631</v>
      </c>
      <c r="H1833" t="s">
        <v>5632</v>
      </c>
    </row>
    <row r="1834" spans="2:8" x14ac:dyDescent="0.55000000000000004">
      <c r="B1834" s="7"/>
      <c r="D1834" t="s">
        <v>5633</v>
      </c>
      <c r="E1834">
        <v>0</v>
      </c>
      <c r="F1834" t="s">
        <v>5634</v>
      </c>
      <c r="G1834" t="s">
        <v>5635</v>
      </c>
      <c r="H1834" t="s">
        <v>5636</v>
      </c>
    </row>
    <row r="1835" spans="2:8" x14ac:dyDescent="0.55000000000000004">
      <c r="B1835" s="7"/>
      <c r="D1835" t="s">
        <v>5637</v>
      </c>
      <c r="E1835">
        <v>0</v>
      </c>
      <c r="F1835" t="s">
        <v>5638</v>
      </c>
      <c r="G1835" t="s">
        <v>5639</v>
      </c>
      <c r="H1835" t="s">
        <v>5640</v>
      </c>
    </row>
    <row r="1836" spans="2:8" x14ac:dyDescent="0.55000000000000004">
      <c r="B1836" s="7"/>
      <c r="D1836" t="s">
        <v>5641</v>
      </c>
      <c r="E1836">
        <v>0</v>
      </c>
      <c r="F1836" t="s">
        <v>1823</v>
      </c>
      <c r="G1836" t="s">
        <v>5642</v>
      </c>
      <c r="H1836" t="s">
        <v>5643</v>
      </c>
    </row>
    <row r="1837" spans="2:8" x14ac:dyDescent="0.55000000000000004">
      <c r="B1837" s="7"/>
      <c r="D1837" t="s">
        <v>5644</v>
      </c>
      <c r="E1837">
        <v>0</v>
      </c>
      <c r="F1837" t="s">
        <v>5645</v>
      </c>
      <c r="G1837" t="s">
        <v>5646</v>
      </c>
      <c r="H1837" t="s">
        <v>5647</v>
      </c>
    </row>
    <row r="1838" spans="2:8" x14ac:dyDescent="0.55000000000000004">
      <c r="B1838" s="7"/>
      <c r="D1838" t="s">
        <v>5648</v>
      </c>
      <c r="E1838">
        <v>0</v>
      </c>
      <c r="F1838" t="s">
        <v>5649</v>
      </c>
      <c r="G1838" t="s">
        <v>5650</v>
      </c>
      <c r="H1838" t="s">
        <v>5651</v>
      </c>
    </row>
    <row r="1839" spans="2:8" x14ac:dyDescent="0.55000000000000004">
      <c r="B1839" s="7"/>
      <c r="D1839" t="s">
        <v>5652</v>
      </c>
      <c r="E1839">
        <v>0</v>
      </c>
      <c r="F1839" t="s">
        <v>5653</v>
      </c>
      <c r="G1839" t="s">
        <v>5654</v>
      </c>
      <c r="H1839" t="s">
        <v>5655</v>
      </c>
    </row>
    <row r="1840" spans="2:8" x14ac:dyDescent="0.55000000000000004">
      <c r="B1840" s="7"/>
      <c r="D1840" t="s">
        <v>5656</v>
      </c>
      <c r="E1840">
        <v>0</v>
      </c>
      <c r="F1840" t="s">
        <v>5657</v>
      </c>
      <c r="G1840" t="s">
        <v>5658</v>
      </c>
      <c r="H1840" t="s">
        <v>5659</v>
      </c>
    </row>
    <row r="1841" spans="2:8" x14ac:dyDescent="0.55000000000000004">
      <c r="B1841" s="7"/>
      <c r="D1841" t="s">
        <v>5660</v>
      </c>
      <c r="E1841">
        <v>0</v>
      </c>
      <c r="F1841" t="s">
        <v>5661</v>
      </c>
      <c r="G1841" t="s">
        <v>5662</v>
      </c>
      <c r="H1841" t="s">
        <v>5663</v>
      </c>
    </row>
    <row r="1842" spans="2:8" x14ac:dyDescent="0.55000000000000004">
      <c r="B1842" s="7"/>
      <c r="D1842" t="s">
        <v>5664</v>
      </c>
      <c r="E1842">
        <v>0</v>
      </c>
      <c r="F1842" t="s">
        <v>4464</v>
      </c>
      <c r="G1842" t="s">
        <v>5665</v>
      </c>
      <c r="H1842" t="s">
        <v>5666</v>
      </c>
    </row>
    <row r="1843" spans="2:8" x14ac:dyDescent="0.55000000000000004">
      <c r="B1843" s="7"/>
      <c r="D1843" t="s">
        <v>5668</v>
      </c>
      <c r="E1843">
        <v>0</v>
      </c>
      <c r="F1843" t="s">
        <v>5667</v>
      </c>
      <c r="G1843" t="s">
        <v>5669</v>
      </c>
      <c r="H1843" t="s">
        <v>5670</v>
      </c>
    </row>
    <row r="1844" spans="2:8" x14ac:dyDescent="0.55000000000000004">
      <c r="B1844" s="7"/>
      <c r="D1844" t="s">
        <v>5671</v>
      </c>
      <c r="E1844">
        <v>0</v>
      </c>
      <c r="F1844" t="s">
        <v>5672</v>
      </c>
      <c r="G1844" t="s">
        <v>5673</v>
      </c>
      <c r="H1844" t="s">
        <v>5674</v>
      </c>
    </row>
    <row r="1845" spans="2:8" x14ac:dyDescent="0.55000000000000004">
      <c r="B1845" s="7"/>
      <c r="D1845" t="s">
        <v>5675</v>
      </c>
      <c r="E1845">
        <v>0</v>
      </c>
      <c r="F1845" t="s">
        <v>5676</v>
      </c>
      <c r="G1845" t="s">
        <v>5677</v>
      </c>
      <c r="H1845" t="s">
        <v>5678</v>
      </c>
    </row>
    <row r="1846" spans="2:8" x14ac:dyDescent="0.55000000000000004">
      <c r="B1846" s="7"/>
      <c r="D1846" t="s">
        <v>5679</v>
      </c>
      <c r="E1846">
        <v>0</v>
      </c>
      <c r="F1846" t="s">
        <v>5680</v>
      </c>
      <c r="G1846" t="s">
        <v>5681</v>
      </c>
      <c r="H1846" t="s">
        <v>5682</v>
      </c>
    </row>
    <row r="1847" spans="2:8" x14ac:dyDescent="0.55000000000000004">
      <c r="B1847" s="7"/>
      <c r="D1847" t="s">
        <v>5683</v>
      </c>
      <c r="E1847">
        <v>0</v>
      </c>
      <c r="F1847" t="s">
        <v>5684</v>
      </c>
      <c r="G1847" t="s">
        <v>5685</v>
      </c>
      <c r="H1847" t="s">
        <v>5686</v>
      </c>
    </row>
    <row r="1848" spans="2:8" x14ac:dyDescent="0.55000000000000004">
      <c r="B1848" s="7"/>
      <c r="D1848" t="s">
        <v>5687</v>
      </c>
      <c r="E1848">
        <v>0</v>
      </c>
      <c r="F1848" t="s">
        <v>5688</v>
      </c>
      <c r="G1848" t="s">
        <v>5689</v>
      </c>
      <c r="H1848" t="s">
        <v>5690</v>
      </c>
    </row>
    <row r="1849" spans="2:8" x14ac:dyDescent="0.55000000000000004">
      <c r="B1849" s="7"/>
      <c r="D1849" t="s">
        <v>5691</v>
      </c>
      <c r="E1849">
        <v>0</v>
      </c>
      <c r="F1849" t="s">
        <v>5692</v>
      </c>
      <c r="G1849" t="s">
        <v>5693</v>
      </c>
      <c r="H1849" t="s">
        <v>5694</v>
      </c>
    </row>
    <row r="1850" spans="2:8" x14ac:dyDescent="0.55000000000000004">
      <c r="B1850" s="7"/>
      <c r="D1850" t="s">
        <v>5695</v>
      </c>
      <c r="E1850">
        <v>0</v>
      </c>
      <c r="F1850" t="s">
        <v>5696</v>
      </c>
      <c r="G1850" t="s">
        <v>5697</v>
      </c>
      <c r="H1850" t="s">
        <v>5698</v>
      </c>
    </row>
    <row r="1851" spans="2:8" x14ac:dyDescent="0.55000000000000004">
      <c r="B1851" s="7"/>
      <c r="D1851" t="s">
        <v>5699</v>
      </c>
      <c r="E1851">
        <v>0</v>
      </c>
      <c r="F1851" t="s">
        <v>5700</v>
      </c>
      <c r="G1851" t="s">
        <v>5701</v>
      </c>
      <c r="H1851" t="s">
        <v>5702</v>
      </c>
    </row>
    <row r="1852" spans="2:8" x14ac:dyDescent="0.55000000000000004">
      <c r="B1852" s="7"/>
      <c r="D1852" t="s">
        <v>5703</v>
      </c>
      <c r="E1852">
        <v>0</v>
      </c>
      <c r="F1852" t="s">
        <v>5704</v>
      </c>
      <c r="G1852" t="s">
        <v>5705</v>
      </c>
      <c r="H1852" t="s">
        <v>5706</v>
      </c>
    </row>
    <row r="1853" spans="2:8" x14ac:dyDescent="0.55000000000000004">
      <c r="B1853" s="7"/>
      <c r="D1853" t="s">
        <v>5707</v>
      </c>
      <c r="E1853">
        <v>0</v>
      </c>
      <c r="F1853" t="s">
        <v>5708</v>
      </c>
      <c r="G1853" t="s">
        <v>5709</v>
      </c>
      <c r="H1853" t="s">
        <v>5710</v>
      </c>
    </row>
    <row r="1854" spans="2:8" x14ac:dyDescent="0.55000000000000004">
      <c r="B1854" s="7"/>
      <c r="D1854" t="s">
        <v>5711</v>
      </c>
      <c r="E1854">
        <v>0</v>
      </c>
      <c r="F1854" t="s">
        <v>5712</v>
      </c>
      <c r="G1854" t="s">
        <v>5713</v>
      </c>
      <c r="H1854" t="s">
        <v>5714</v>
      </c>
    </row>
    <row r="1855" spans="2:8" x14ac:dyDescent="0.55000000000000004">
      <c r="B1855" s="7"/>
      <c r="D1855" t="s">
        <v>5715</v>
      </c>
      <c r="E1855">
        <v>0</v>
      </c>
      <c r="F1855" t="s">
        <v>4506</v>
      </c>
      <c r="G1855" t="s">
        <v>4507</v>
      </c>
      <c r="H1855" t="s">
        <v>5716</v>
      </c>
    </row>
    <row r="1856" spans="2:8" x14ac:dyDescent="0.55000000000000004">
      <c r="B1856" s="7"/>
      <c r="D1856" t="s">
        <v>5717</v>
      </c>
      <c r="E1856">
        <v>0</v>
      </c>
      <c r="F1856" t="s">
        <v>5718</v>
      </c>
      <c r="G1856" t="s">
        <v>5719</v>
      </c>
      <c r="H1856" t="s">
        <v>5720</v>
      </c>
    </row>
    <row r="1857" spans="2:8" x14ac:dyDescent="0.55000000000000004">
      <c r="B1857" s="7"/>
      <c r="D1857" t="s">
        <v>5721</v>
      </c>
      <c r="E1857">
        <v>0</v>
      </c>
      <c r="F1857" t="s">
        <v>5722</v>
      </c>
      <c r="G1857" t="s">
        <v>5723</v>
      </c>
      <c r="H1857" t="s">
        <v>5724</v>
      </c>
    </row>
    <row r="1858" spans="2:8" x14ac:dyDescent="0.55000000000000004">
      <c r="B1858" s="7"/>
      <c r="D1858" t="s">
        <v>5725</v>
      </c>
      <c r="E1858">
        <v>0</v>
      </c>
      <c r="F1858" t="s">
        <v>5726</v>
      </c>
      <c r="G1858" t="s">
        <v>5727</v>
      </c>
      <c r="H1858" t="s">
        <v>5728</v>
      </c>
    </row>
    <row r="1859" spans="2:8" x14ac:dyDescent="0.55000000000000004">
      <c r="B1859" s="7"/>
      <c r="D1859" t="s">
        <v>5729</v>
      </c>
      <c r="E1859">
        <v>0</v>
      </c>
      <c r="F1859" t="s">
        <v>5730</v>
      </c>
      <c r="G1859" t="s">
        <v>5731</v>
      </c>
      <c r="H1859" t="s">
        <v>5732</v>
      </c>
    </row>
    <row r="1860" spans="2:8" x14ac:dyDescent="0.55000000000000004">
      <c r="B1860" s="7"/>
      <c r="D1860" t="s">
        <v>5733</v>
      </c>
      <c r="E1860">
        <v>0</v>
      </c>
      <c r="F1860" t="s">
        <v>5734</v>
      </c>
      <c r="G1860" t="s">
        <v>5735</v>
      </c>
      <c r="H1860" t="s">
        <v>5736</v>
      </c>
    </row>
    <row r="1861" spans="2:8" x14ac:dyDescent="0.55000000000000004">
      <c r="B1861" s="7"/>
      <c r="D1861" t="s">
        <v>5737</v>
      </c>
      <c r="E1861">
        <v>0</v>
      </c>
      <c r="F1861" t="s">
        <v>5738</v>
      </c>
      <c r="G1861" t="s">
        <v>5739</v>
      </c>
      <c r="H1861" t="s">
        <v>5740</v>
      </c>
    </row>
    <row r="1862" spans="2:8" x14ac:dyDescent="0.55000000000000004">
      <c r="B1862" s="7"/>
      <c r="D1862" t="s">
        <v>5741</v>
      </c>
      <c r="E1862">
        <v>0</v>
      </c>
      <c r="F1862" t="s">
        <v>5742</v>
      </c>
      <c r="G1862" t="s">
        <v>5743</v>
      </c>
      <c r="H1862" t="s">
        <v>5744</v>
      </c>
    </row>
    <row r="1863" spans="2:8" x14ac:dyDescent="0.55000000000000004">
      <c r="B1863" s="7"/>
      <c r="D1863" t="s">
        <v>5745</v>
      </c>
      <c r="E1863">
        <v>0</v>
      </c>
      <c r="F1863" t="s">
        <v>5746</v>
      </c>
      <c r="G1863" t="s">
        <v>5747</v>
      </c>
      <c r="H1863" t="s">
        <v>5748</v>
      </c>
    </row>
    <row r="1864" spans="2:8" x14ac:dyDescent="0.55000000000000004">
      <c r="B1864" s="7"/>
      <c r="D1864" t="s">
        <v>5749</v>
      </c>
      <c r="E1864">
        <v>0</v>
      </c>
      <c r="F1864" t="s">
        <v>5750</v>
      </c>
      <c r="G1864" t="s">
        <v>5751</v>
      </c>
      <c r="H1864" t="s">
        <v>5752</v>
      </c>
    </row>
    <row r="1865" spans="2:8" x14ac:dyDescent="0.55000000000000004">
      <c r="B1865" s="7"/>
      <c r="D1865" t="s">
        <v>5753</v>
      </c>
      <c r="E1865">
        <v>0</v>
      </c>
      <c r="F1865" t="s">
        <v>5754</v>
      </c>
      <c r="G1865" t="s">
        <v>5755</v>
      </c>
      <c r="H1865" t="s">
        <v>5756</v>
      </c>
    </row>
    <row r="1866" spans="2:8" x14ac:dyDescent="0.55000000000000004">
      <c r="B1866" s="7"/>
      <c r="D1866" t="s">
        <v>5757</v>
      </c>
      <c r="E1866">
        <v>0</v>
      </c>
      <c r="F1866" t="s">
        <v>5758</v>
      </c>
      <c r="G1866" t="s">
        <v>5759</v>
      </c>
      <c r="H1866" t="s">
        <v>5760</v>
      </c>
    </row>
    <row r="1867" spans="2:8" x14ac:dyDescent="0.55000000000000004">
      <c r="B1867" s="7"/>
      <c r="D1867" t="s">
        <v>5761</v>
      </c>
      <c r="E1867">
        <v>0</v>
      </c>
      <c r="F1867" t="s">
        <v>5762</v>
      </c>
      <c r="G1867" t="s">
        <v>5763</v>
      </c>
      <c r="H1867" t="s">
        <v>5764</v>
      </c>
    </row>
    <row r="1868" spans="2:8" x14ac:dyDescent="0.55000000000000004">
      <c r="B1868" s="7"/>
      <c r="D1868" t="s">
        <v>5765</v>
      </c>
      <c r="E1868">
        <v>0</v>
      </c>
      <c r="F1868" t="s">
        <v>5766</v>
      </c>
      <c r="G1868" t="s">
        <v>5767</v>
      </c>
      <c r="H1868" t="s">
        <v>5768</v>
      </c>
    </row>
    <row r="1869" spans="2:8" x14ac:dyDescent="0.55000000000000004">
      <c r="B1869" s="7"/>
      <c r="D1869" t="s">
        <v>5769</v>
      </c>
      <c r="E1869">
        <v>0</v>
      </c>
      <c r="F1869" t="s">
        <v>464</v>
      </c>
      <c r="G1869" t="s">
        <v>5770</v>
      </c>
      <c r="H1869" t="s">
        <v>5771</v>
      </c>
    </row>
    <row r="1870" spans="2:8" x14ac:dyDescent="0.55000000000000004">
      <c r="B1870" s="7"/>
      <c r="D1870" t="s">
        <v>5772</v>
      </c>
      <c r="E1870">
        <v>0</v>
      </c>
      <c r="F1870" t="s">
        <v>282</v>
      </c>
      <c r="G1870" t="s">
        <v>5773</v>
      </c>
      <c r="H1870" t="s">
        <v>5774</v>
      </c>
    </row>
    <row r="1871" spans="2:8" x14ac:dyDescent="0.55000000000000004">
      <c r="B1871" s="7"/>
      <c r="D1871" t="s">
        <v>5775</v>
      </c>
      <c r="E1871">
        <v>0</v>
      </c>
      <c r="F1871" t="s">
        <v>5776</v>
      </c>
      <c r="G1871" t="s">
        <v>5777</v>
      </c>
      <c r="H1871" t="s">
        <v>5778</v>
      </c>
    </row>
    <row r="1872" spans="2:8" x14ac:dyDescent="0.55000000000000004">
      <c r="B1872" s="7"/>
      <c r="D1872" t="s">
        <v>5779</v>
      </c>
      <c r="E1872">
        <v>0</v>
      </c>
      <c r="F1872" t="s">
        <v>5780</v>
      </c>
      <c r="G1872" t="s">
        <v>5781</v>
      </c>
      <c r="H1872" t="s">
        <v>5782</v>
      </c>
    </row>
    <row r="1873" spans="2:8" x14ac:dyDescent="0.55000000000000004">
      <c r="B1873" s="7"/>
      <c r="D1873" t="s">
        <v>5783</v>
      </c>
      <c r="E1873">
        <v>0</v>
      </c>
      <c r="F1873" t="s">
        <v>5784</v>
      </c>
      <c r="G1873" t="s">
        <v>5785</v>
      </c>
      <c r="H1873" t="s">
        <v>5786</v>
      </c>
    </row>
    <row r="1874" spans="2:8" x14ac:dyDescent="0.55000000000000004">
      <c r="B1874" s="7"/>
      <c r="D1874" t="s">
        <v>5787</v>
      </c>
      <c r="E1874">
        <v>0</v>
      </c>
      <c r="F1874" t="s">
        <v>5788</v>
      </c>
      <c r="G1874" t="s">
        <v>5789</v>
      </c>
      <c r="H1874" t="s">
        <v>5790</v>
      </c>
    </row>
    <row r="1875" spans="2:8" x14ac:dyDescent="0.55000000000000004">
      <c r="B1875" s="7"/>
      <c r="D1875" t="s">
        <v>5791</v>
      </c>
      <c r="E1875">
        <v>0</v>
      </c>
      <c r="F1875" t="s">
        <v>5792</v>
      </c>
      <c r="G1875" t="s">
        <v>5793</v>
      </c>
      <c r="H1875" t="s">
        <v>5794</v>
      </c>
    </row>
    <row r="1876" spans="2:8" x14ac:dyDescent="0.55000000000000004">
      <c r="B1876" s="7"/>
      <c r="D1876" t="s">
        <v>5795</v>
      </c>
      <c r="E1876">
        <v>0</v>
      </c>
      <c r="F1876" t="s">
        <v>5796</v>
      </c>
      <c r="G1876" t="s">
        <v>5797</v>
      </c>
      <c r="H1876" t="s">
        <v>5798</v>
      </c>
    </row>
    <row r="1877" spans="2:8" x14ac:dyDescent="0.55000000000000004">
      <c r="B1877" s="7"/>
      <c r="D1877" t="s">
        <v>5799</v>
      </c>
      <c r="E1877">
        <v>0</v>
      </c>
      <c r="F1877" t="s">
        <v>5800</v>
      </c>
      <c r="G1877" t="s">
        <v>5801</v>
      </c>
      <c r="H1877" t="s">
        <v>5802</v>
      </c>
    </row>
    <row r="1878" spans="2:8" x14ac:dyDescent="0.55000000000000004">
      <c r="B1878" s="7"/>
      <c r="D1878" t="s">
        <v>5803</v>
      </c>
      <c r="E1878">
        <v>0</v>
      </c>
      <c r="F1878" t="s">
        <v>5804</v>
      </c>
      <c r="G1878" t="s">
        <v>5805</v>
      </c>
      <c r="H1878" t="s">
        <v>5806</v>
      </c>
    </row>
    <row r="1879" spans="2:8" x14ac:dyDescent="0.55000000000000004">
      <c r="B1879" s="7"/>
      <c r="D1879" t="s">
        <v>5807</v>
      </c>
      <c r="E1879">
        <v>0</v>
      </c>
      <c r="F1879" t="s">
        <v>5808</v>
      </c>
      <c r="G1879" t="s">
        <v>5809</v>
      </c>
      <c r="H1879" t="s">
        <v>5810</v>
      </c>
    </row>
    <row r="1880" spans="2:8" x14ac:dyDescent="0.55000000000000004">
      <c r="B1880" s="7"/>
      <c r="D1880" t="s">
        <v>5811</v>
      </c>
      <c r="E1880">
        <v>0</v>
      </c>
      <c r="F1880" t="s">
        <v>5812</v>
      </c>
      <c r="G1880" t="s">
        <v>5813</v>
      </c>
      <c r="H1880" t="s">
        <v>5814</v>
      </c>
    </row>
    <row r="1881" spans="2:8" x14ac:dyDescent="0.55000000000000004">
      <c r="B1881" s="7"/>
      <c r="D1881" t="s">
        <v>5815</v>
      </c>
      <c r="E1881">
        <v>0</v>
      </c>
      <c r="F1881" t="s">
        <v>5816</v>
      </c>
      <c r="G1881" t="s">
        <v>5817</v>
      </c>
      <c r="H1881" t="s">
        <v>5818</v>
      </c>
    </row>
    <row r="1882" spans="2:8" x14ac:dyDescent="0.55000000000000004">
      <c r="B1882" s="7"/>
      <c r="D1882" t="s">
        <v>5819</v>
      </c>
      <c r="E1882">
        <v>0</v>
      </c>
      <c r="F1882" t="s">
        <v>5820</v>
      </c>
      <c r="G1882" t="s">
        <v>5821</v>
      </c>
      <c r="H1882" t="s">
        <v>5822</v>
      </c>
    </row>
    <row r="1883" spans="2:8" x14ac:dyDescent="0.55000000000000004">
      <c r="B1883" s="7"/>
      <c r="D1883" t="s">
        <v>5823</v>
      </c>
      <c r="E1883">
        <v>0</v>
      </c>
      <c r="F1883" t="s">
        <v>5824</v>
      </c>
      <c r="G1883" t="s">
        <v>5825</v>
      </c>
      <c r="H1883" t="s">
        <v>5826</v>
      </c>
    </row>
    <row r="1884" spans="2:8" x14ac:dyDescent="0.55000000000000004">
      <c r="B1884" s="7"/>
      <c r="D1884" t="s">
        <v>5827</v>
      </c>
      <c r="E1884">
        <v>0</v>
      </c>
      <c r="F1884" t="s">
        <v>5828</v>
      </c>
      <c r="G1884" t="s">
        <v>863</v>
      </c>
      <c r="H1884" t="s">
        <v>5829</v>
      </c>
    </row>
    <row r="1885" spans="2:8" x14ac:dyDescent="0.55000000000000004">
      <c r="B1885" s="7"/>
      <c r="D1885" t="s">
        <v>5830</v>
      </c>
      <c r="E1885">
        <v>0</v>
      </c>
      <c r="F1885" t="s">
        <v>5831</v>
      </c>
      <c r="G1885" t="s">
        <v>5832</v>
      </c>
      <c r="H1885" t="s">
        <v>5833</v>
      </c>
    </row>
    <row r="1886" spans="2:8" x14ac:dyDescent="0.55000000000000004">
      <c r="B1886" s="7"/>
      <c r="D1886" t="s">
        <v>5834</v>
      </c>
      <c r="E1886">
        <v>0</v>
      </c>
      <c r="F1886" t="s">
        <v>5835</v>
      </c>
      <c r="G1886" t="s">
        <v>5836</v>
      </c>
      <c r="H1886" t="s">
        <v>5837</v>
      </c>
    </row>
    <row r="1887" spans="2:8" x14ac:dyDescent="0.55000000000000004">
      <c r="B1887" s="7"/>
      <c r="D1887" t="s">
        <v>5838</v>
      </c>
      <c r="E1887">
        <v>0</v>
      </c>
      <c r="F1887" t="s">
        <v>5839</v>
      </c>
      <c r="G1887" t="s">
        <v>5840</v>
      </c>
      <c r="H1887" t="s">
        <v>5841</v>
      </c>
    </row>
    <row r="1888" spans="2:8" x14ac:dyDescent="0.55000000000000004">
      <c r="B1888" s="7"/>
      <c r="D1888" t="s">
        <v>5842</v>
      </c>
      <c r="E1888">
        <v>0</v>
      </c>
      <c r="F1888" t="s">
        <v>5843</v>
      </c>
      <c r="G1888" t="s">
        <v>5844</v>
      </c>
      <c r="H1888" t="s">
        <v>5845</v>
      </c>
    </row>
    <row r="1889" spans="2:8" x14ac:dyDescent="0.55000000000000004">
      <c r="B1889" s="7"/>
      <c r="D1889" t="s">
        <v>5846</v>
      </c>
      <c r="E1889">
        <v>0</v>
      </c>
      <c r="F1889" t="s">
        <v>5847</v>
      </c>
      <c r="G1889" t="s">
        <v>5848</v>
      </c>
      <c r="H1889" t="s">
        <v>5849</v>
      </c>
    </row>
    <row r="1890" spans="2:8" x14ac:dyDescent="0.55000000000000004">
      <c r="B1890" s="7"/>
      <c r="D1890" t="s">
        <v>5850</v>
      </c>
      <c r="E1890">
        <v>0</v>
      </c>
      <c r="F1890" t="s">
        <v>5851</v>
      </c>
      <c r="G1890" t="s">
        <v>5852</v>
      </c>
      <c r="H1890" t="s">
        <v>5853</v>
      </c>
    </row>
    <row r="1891" spans="2:8" x14ac:dyDescent="0.55000000000000004">
      <c r="B1891" s="7"/>
      <c r="D1891" t="s">
        <v>5854</v>
      </c>
      <c r="E1891">
        <v>0</v>
      </c>
      <c r="F1891" t="s">
        <v>5855</v>
      </c>
      <c r="G1891" t="s">
        <v>5856</v>
      </c>
      <c r="H1891" t="s">
        <v>5857</v>
      </c>
    </row>
    <row r="1892" spans="2:8" x14ac:dyDescent="0.55000000000000004">
      <c r="B1892" s="7"/>
      <c r="D1892" t="s">
        <v>5858</v>
      </c>
      <c r="E1892">
        <v>0</v>
      </c>
      <c r="F1892" t="s">
        <v>5859</v>
      </c>
      <c r="G1892" t="s">
        <v>5860</v>
      </c>
      <c r="H1892" t="s">
        <v>5861</v>
      </c>
    </row>
    <row r="1893" spans="2:8" x14ac:dyDescent="0.55000000000000004">
      <c r="B1893" s="7"/>
      <c r="D1893" t="s">
        <v>5862</v>
      </c>
      <c r="E1893">
        <v>0</v>
      </c>
      <c r="F1893" t="s">
        <v>5863</v>
      </c>
      <c r="G1893" t="s">
        <v>5864</v>
      </c>
      <c r="H1893" t="s">
        <v>5865</v>
      </c>
    </row>
    <row r="1894" spans="2:8" x14ac:dyDescent="0.55000000000000004">
      <c r="B1894" s="7"/>
      <c r="D1894" t="s">
        <v>5866</v>
      </c>
      <c r="E1894">
        <v>0</v>
      </c>
      <c r="F1894" t="s">
        <v>5867</v>
      </c>
      <c r="G1894" t="s">
        <v>5868</v>
      </c>
      <c r="H1894" t="s">
        <v>5869</v>
      </c>
    </row>
    <row r="1895" spans="2:8" x14ac:dyDescent="0.55000000000000004">
      <c r="B1895" s="7"/>
      <c r="D1895" t="s">
        <v>5870</v>
      </c>
      <c r="E1895">
        <v>0</v>
      </c>
      <c r="F1895" t="s">
        <v>1079</v>
      </c>
      <c r="G1895" t="s">
        <v>5871</v>
      </c>
      <c r="H1895" t="s">
        <v>5872</v>
      </c>
    </row>
    <row r="1896" spans="2:8" x14ac:dyDescent="0.55000000000000004">
      <c r="B1896" s="7"/>
      <c r="D1896" t="s">
        <v>5873</v>
      </c>
      <c r="E1896">
        <v>0</v>
      </c>
      <c r="F1896" t="s">
        <v>5874</v>
      </c>
      <c r="G1896" t="s">
        <v>5875</v>
      </c>
      <c r="H1896" t="s">
        <v>5876</v>
      </c>
    </row>
    <row r="1897" spans="2:8" x14ac:dyDescent="0.55000000000000004">
      <c r="B1897" s="7"/>
      <c r="D1897" t="s">
        <v>5877</v>
      </c>
      <c r="E1897">
        <v>0</v>
      </c>
      <c r="F1897" t="s">
        <v>5878</v>
      </c>
      <c r="G1897" t="s">
        <v>5879</v>
      </c>
      <c r="H1897" t="s">
        <v>5880</v>
      </c>
    </row>
    <row r="1898" spans="2:8" x14ac:dyDescent="0.55000000000000004">
      <c r="B1898" s="7"/>
      <c r="D1898" t="s">
        <v>5881</v>
      </c>
      <c r="E1898">
        <v>0</v>
      </c>
      <c r="F1898" t="s">
        <v>5882</v>
      </c>
      <c r="G1898" t="s">
        <v>5883</v>
      </c>
      <c r="H1898" t="s">
        <v>5884</v>
      </c>
    </row>
    <row r="1899" spans="2:8" x14ac:dyDescent="0.55000000000000004">
      <c r="B1899" s="7"/>
      <c r="D1899" t="s">
        <v>5885</v>
      </c>
      <c r="E1899">
        <v>0</v>
      </c>
      <c r="F1899" t="s">
        <v>5886</v>
      </c>
      <c r="G1899" t="s">
        <v>5887</v>
      </c>
      <c r="H1899" t="s">
        <v>5888</v>
      </c>
    </row>
    <row r="1900" spans="2:8" x14ac:dyDescent="0.55000000000000004">
      <c r="B1900" s="7"/>
      <c r="D1900" t="s">
        <v>5889</v>
      </c>
      <c r="E1900">
        <v>0</v>
      </c>
      <c r="F1900" t="s">
        <v>5890</v>
      </c>
      <c r="G1900" t="s">
        <v>5891</v>
      </c>
      <c r="H1900" t="s">
        <v>5892</v>
      </c>
    </row>
    <row r="1901" spans="2:8" x14ac:dyDescent="0.55000000000000004">
      <c r="B1901" s="7"/>
      <c r="D1901" t="s">
        <v>5893</v>
      </c>
      <c r="E1901">
        <v>0</v>
      </c>
      <c r="F1901" t="s">
        <v>5894</v>
      </c>
      <c r="G1901" t="s">
        <v>5895</v>
      </c>
      <c r="H1901" t="s">
        <v>5896</v>
      </c>
    </row>
    <row r="1902" spans="2:8" x14ac:dyDescent="0.55000000000000004">
      <c r="B1902" s="7"/>
      <c r="D1902" t="s">
        <v>5897</v>
      </c>
      <c r="E1902">
        <v>0</v>
      </c>
      <c r="F1902" t="s">
        <v>5898</v>
      </c>
      <c r="G1902" t="s">
        <v>5899</v>
      </c>
      <c r="H1902" t="s">
        <v>5900</v>
      </c>
    </row>
    <row r="1903" spans="2:8" x14ac:dyDescent="0.55000000000000004">
      <c r="B1903" s="7"/>
      <c r="D1903" t="s">
        <v>5902</v>
      </c>
      <c r="E1903">
        <v>0</v>
      </c>
      <c r="F1903" t="s">
        <v>5903</v>
      </c>
      <c r="G1903" t="s">
        <v>5904</v>
      </c>
      <c r="H1903" t="s">
        <v>5905</v>
      </c>
    </row>
    <row r="1904" spans="2:8" x14ac:dyDescent="0.55000000000000004">
      <c r="B1904" s="7"/>
      <c r="D1904" t="s">
        <v>5906</v>
      </c>
      <c r="E1904">
        <v>0</v>
      </c>
      <c r="F1904" t="s">
        <v>5907</v>
      </c>
      <c r="G1904" t="s">
        <v>5908</v>
      </c>
      <c r="H1904" t="s">
        <v>5909</v>
      </c>
    </row>
    <row r="1905" spans="2:8" x14ac:dyDescent="0.55000000000000004">
      <c r="B1905" s="7"/>
      <c r="D1905" t="s">
        <v>5910</v>
      </c>
      <c r="E1905">
        <v>0</v>
      </c>
      <c r="F1905" t="s">
        <v>5911</v>
      </c>
      <c r="G1905" t="s">
        <v>5912</v>
      </c>
      <c r="H1905" t="s">
        <v>5913</v>
      </c>
    </row>
    <row r="1906" spans="2:8" x14ac:dyDescent="0.55000000000000004">
      <c r="B1906" s="7"/>
      <c r="D1906" t="s">
        <v>5914</v>
      </c>
      <c r="E1906">
        <v>0</v>
      </c>
      <c r="F1906" t="s">
        <v>5915</v>
      </c>
      <c r="G1906" t="s">
        <v>5916</v>
      </c>
      <c r="H1906" t="s">
        <v>5917</v>
      </c>
    </row>
    <row r="1907" spans="2:8" x14ac:dyDescent="0.55000000000000004">
      <c r="B1907" s="7"/>
      <c r="D1907" t="s">
        <v>5918</v>
      </c>
      <c r="E1907">
        <v>0</v>
      </c>
      <c r="F1907" t="s">
        <v>5919</v>
      </c>
      <c r="G1907" t="s">
        <v>5920</v>
      </c>
      <c r="H1907" t="s">
        <v>5921</v>
      </c>
    </row>
    <row r="1908" spans="2:8" x14ac:dyDescent="0.55000000000000004">
      <c r="B1908" s="7"/>
      <c r="D1908" t="s">
        <v>5922</v>
      </c>
      <c r="E1908">
        <v>0</v>
      </c>
      <c r="F1908" t="s">
        <v>5923</v>
      </c>
      <c r="G1908" t="s">
        <v>5924</v>
      </c>
      <c r="H1908" t="s">
        <v>5925</v>
      </c>
    </row>
    <row r="1909" spans="2:8" x14ac:dyDescent="0.55000000000000004">
      <c r="B1909" s="7"/>
      <c r="D1909" t="s">
        <v>5926</v>
      </c>
      <c r="E1909">
        <v>0</v>
      </c>
      <c r="F1909" t="s">
        <v>5901</v>
      </c>
      <c r="G1909" t="s">
        <v>5927</v>
      </c>
      <c r="H1909" t="s">
        <v>5928</v>
      </c>
    </row>
    <row r="1910" spans="2:8" x14ac:dyDescent="0.55000000000000004">
      <c r="B1910" s="7"/>
      <c r="D1910" t="s">
        <v>5929</v>
      </c>
      <c r="E1910">
        <v>0</v>
      </c>
      <c r="F1910" t="s">
        <v>5930</v>
      </c>
      <c r="G1910" t="s">
        <v>5931</v>
      </c>
      <c r="H1910" t="s">
        <v>5932</v>
      </c>
    </row>
    <row r="1911" spans="2:8" x14ac:dyDescent="0.55000000000000004">
      <c r="B1911" s="7"/>
      <c r="D1911" t="s">
        <v>5933</v>
      </c>
      <c r="E1911">
        <v>0</v>
      </c>
      <c r="F1911" t="s">
        <v>5934</v>
      </c>
      <c r="G1911" t="s">
        <v>5935</v>
      </c>
      <c r="H1911" t="s">
        <v>5936</v>
      </c>
    </row>
    <row r="1912" spans="2:8" x14ac:dyDescent="0.55000000000000004">
      <c r="B1912" s="7"/>
      <c r="D1912" t="s">
        <v>5937</v>
      </c>
      <c r="E1912">
        <v>0</v>
      </c>
      <c r="F1912" t="s">
        <v>5938</v>
      </c>
      <c r="G1912" t="s">
        <v>5939</v>
      </c>
      <c r="H1912" t="s">
        <v>5940</v>
      </c>
    </row>
    <row r="1913" spans="2:8" x14ac:dyDescent="0.55000000000000004">
      <c r="B1913" s="7"/>
      <c r="D1913" t="s">
        <v>5941</v>
      </c>
      <c r="E1913">
        <v>0</v>
      </c>
      <c r="F1913" t="s">
        <v>5942</v>
      </c>
      <c r="G1913" t="s">
        <v>5943</v>
      </c>
      <c r="H1913" t="s">
        <v>5944</v>
      </c>
    </row>
    <row r="1914" spans="2:8" x14ac:dyDescent="0.55000000000000004">
      <c r="B1914" s="7"/>
      <c r="D1914" t="s">
        <v>5945</v>
      </c>
      <c r="E1914">
        <v>0</v>
      </c>
      <c r="F1914" t="s">
        <v>5946</v>
      </c>
      <c r="G1914" t="s">
        <v>5947</v>
      </c>
      <c r="H1914" t="s">
        <v>5948</v>
      </c>
    </row>
    <row r="1915" spans="2:8" x14ac:dyDescent="0.55000000000000004">
      <c r="B1915" s="7"/>
      <c r="D1915" t="s">
        <v>5949</v>
      </c>
      <c r="E1915">
        <v>0</v>
      </c>
      <c r="F1915" t="s">
        <v>5950</v>
      </c>
      <c r="G1915" t="s">
        <v>5951</v>
      </c>
      <c r="H1915" t="s">
        <v>5952</v>
      </c>
    </row>
    <row r="1916" spans="2:8" x14ac:dyDescent="0.55000000000000004">
      <c r="B1916" s="7"/>
      <c r="D1916" t="s">
        <v>5954</v>
      </c>
      <c r="E1916">
        <v>0</v>
      </c>
      <c r="F1916" t="s">
        <v>5955</v>
      </c>
      <c r="G1916" t="s">
        <v>5956</v>
      </c>
      <c r="H1916" t="s">
        <v>5957</v>
      </c>
    </row>
    <row r="1917" spans="2:8" x14ac:dyDescent="0.55000000000000004">
      <c r="B1917" s="7"/>
      <c r="D1917" t="s">
        <v>5958</v>
      </c>
      <c r="E1917">
        <v>0</v>
      </c>
      <c r="F1917" t="s">
        <v>5959</v>
      </c>
      <c r="G1917" t="s">
        <v>5960</v>
      </c>
      <c r="H1917" t="s">
        <v>5961</v>
      </c>
    </row>
    <row r="1918" spans="2:8" x14ac:dyDescent="0.55000000000000004">
      <c r="B1918" s="7"/>
      <c r="D1918" t="s">
        <v>5962</v>
      </c>
      <c r="E1918">
        <v>0</v>
      </c>
      <c r="F1918" t="s">
        <v>5963</v>
      </c>
      <c r="G1918" t="s">
        <v>5964</v>
      </c>
      <c r="H1918" t="s">
        <v>5965</v>
      </c>
    </row>
    <row r="1919" spans="2:8" x14ac:dyDescent="0.55000000000000004">
      <c r="B1919" s="7"/>
      <c r="D1919" t="s">
        <v>5966</v>
      </c>
      <c r="E1919">
        <v>0</v>
      </c>
      <c r="F1919" t="s">
        <v>5967</v>
      </c>
      <c r="G1919" t="s">
        <v>5968</v>
      </c>
      <c r="H1919" t="s">
        <v>5969</v>
      </c>
    </row>
    <row r="1920" spans="2:8" x14ac:dyDescent="0.55000000000000004">
      <c r="B1920" s="7"/>
      <c r="D1920" t="s">
        <v>5970</v>
      </c>
      <c r="E1920">
        <v>0</v>
      </c>
      <c r="F1920" t="s">
        <v>5971</v>
      </c>
      <c r="G1920" t="s">
        <v>5972</v>
      </c>
      <c r="H1920" t="s">
        <v>5973</v>
      </c>
    </row>
    <row r="1921" spans="2:8" x14ac:dyDescent="0.55000000000000004">
      <c r="B1921" s="7"/>
      <c r="D1921" t="s">
        <v>5974</v>
      </c>
      <c r="E1921">
        <v>0</v>
      </c>
      <c r="F1921" t="s">
        <v>5975</v>
      </c>
      <c r="G1921" t="s">
        <v>5976</v>
      </c>
      <c r="H1921" t="s">
        <v>5977</v>
      </c>
    </row>
    <row r="1922" spans="2:8" x14ac:dyDescent="0.55000000000000004">
      <c r="B1922" s="7"/>
      <c r="D1922" t="s">
        <v>5978</v>
      </c>
      <c r="E1922">
        <v>0</v>
      </c>
      <c r="F1922" t="s">
        <v>5979</v>
      </c>
      <c r="G1922" t="s">
        <v>5980</v>
      </c>
      <c r="H1922" t="s">
        <v>5981</v>
      </c>
    </row>
    <row r="1923" spans="2:8" x14ac:dyDescent="0.55000000000000004">
      <c r="B1923" s="7"/>
      <c r="D1923" t="s">
        <v>5982</v>
      </c>
      <c r="E1923">
        <v>0</v>
      </c>
      <c r="F1923" t="s">
        <v>5953</v>
      </c>
      <c r="G1923" t="s">
        <v>5983</v>
      </c>
      <c r="H1923" t="s">
        <v>5984</v>
      </c>
    </row>
    <row r="1924" spans="2:8" x14ac:dyDescent="0.55000000000000004">
      <c r="B1924" s="7"/>
      <c r="D1924" t="s">
        <v>5985</v>
      </c>
      <c r="E1924">
        <v>0</v>
      </c>
      <c r="F1924" t="s">
        <v>5986</v>
      </c>
      <c r="G1924" t="s">
        <v>5987</v>
      </c>
      <c r="H1924" t="s">
        <v>5988</v>
      </c>
    </row>
    <row r="1925" spans="2:8" x14ac:dyDescent="0.55000000000000004">
      <c r="B1925" s="7"/>
      <c r="D1925" t="s">
        <v>5989</v>
      </c>
      <c r="E1925">
        <v>0</v>
      </c>
      <c r="F1925" t="s">
        <v>5990</v>
      </c>
      <c r="G1925" t="s">
        <v>5991</v>
      </c>
      <c r="H1925" t="s">
        <v>5992</v>
      </c>
    </row>
    <row r="1926" spans="2:8" x14ac:dyDescent="0.55000000000000004">
      <c r="B1926" s="7"/>
      <c r="D1926" t="s">
        <v>5993</v>
      </c>
      <c r="E1926">
        <v>0</v>
      </c>
      <c r="F1926" t="s">
        <v>5994</v>
      </c>
      <c r="G1926" t="s">
        <v>5995</v>
      </c>
      <c r="H1926" t="s">
        <v>5996</v>
      </c>
    </row>
    <row r="1927" spans="2:8" x14ac:dyDescent="0.55000000000000004">
      <c r="B1927" s="7"/>
      <c r="D1927" t="s">
        <v>5997</v>
      </c>
      <c r="E1927">
        <v>0</v>
      </c>
      <c r="F1927" t="s">
        <v>5998</v>
      </c>
      <c r="G1927" t="s">
        <v>5999</v>
      </c>
      <c r="H1927" t="s">
        <v>6000</v>
      </c>
    </row>
    <row r="1928" spans="2:8" x14ac:dyDescent="0.55000000000000004">
      <c r="B1928" s="7"/>
      <c r="D1928" t="s">
        <v>6010</v>
      </c>
      <c r="E1928">
        <v>0</v>
      </c>
      <c r="F1928" t="s">
        <v>6011</v>
      </c>
      <c r="G1928" t="s">
        <v>6012</v>
      </c>
      <c r="H1928" t="s">
        <v>6013</v>
      </c>
    </row>
    <row r="1929" spans="2:8" x14ac:dyDescent="0.55000000000000004">
      <c r="B1929" s="7"/>
      <c r="D1929" t="s">
        <v>6014</v>
      </c>
      <c r="E1929">
        <v>0</v>
      </c>
      <c r="F1929" t="s">
        <v>6015</v>
      </c>
      <c r="G1929" t="s">
        <v>6016</v>
      </c>
      <c r="H1929" t="s">
        <v>6017</v>
      </c>
    </row>
    <row r="1930" spans="2:8" x14ac:dyDescent="0.55000000000000004">
      <c r="B1930" s="7"/>
      <c r="D1930" t="s">
        <v>6018</v>
      </c>
      <c r="E1930">
        <v>0</v>
      </c>
      <c r="F1930" t="s">
        <v>6001</v>
      </c>
      <c r="G1930" t="s">
        <v>6019</v>
      </c>
      <c r="H1930" t="s">
        <v>6020</v>
      </c>
    </row>
    <row r="1931" spans="2:8" x14ac:dyDescent="0.55000000000000004">
      <c r="B1931" s="7"/>
      <c r="D1931" t="s">
        <v>6024</v>
      </c>
      <c r="E1931">
        <v>0</v>
      </c>
      <c r="F1931" t="s">
        <v>6025</v>
      </c>
      <c r="G1931" t="s">
        <v>6026</v>
      </c>
      <c r="H1931" t="s">
        <v>6027</v>
      </c>
    </row>
    <row r="1932" spans="2:8" x14ac:dyDescent="0.55000000000000004">
      <c r="B1932" s="7"/>
      <c r="D1932" t="s">
        <v>6036</v>
      </c>
      <c r="E1932">
        <v>0</v>
      </c>
      <c r="F1932" t="s">
        <v>6037</v>
      </c>
      <c r="G1932" t="s">
        <v>6038</v>
      </c>
      <c r="H1932" t="s">
        <v>6039</v>
      </c>
    </row>
    <row r="1933" spans="2:8" x14ac:dyDescent="0.55000000000000004">
      <c r="B1933" s="7"/>
      <c r="D1933" t="s">
        <v>6040</v>
      </c>
      <c r="E1933">
        <v>0</v>
      </c>
      <c r="F1933" t="s">
        <v>6041</v>
      </c>
      <c r="G1933" t="s">
        <v>6042</v>
      </c>
      <c r="H1933" t="s">
        <v>6043</v>
      </c>
    </row>
    <row r="1934" spans="2:8" x14ac:dyDescent="0.55000000000000004">
      <c r="B1934" s="7"/>
      <c r="D1934" t="s">
        <v>6044</v>
      </c>
      <c r="E1934">
        <v>0</v>
      </c>
      <c r="F1934" t="s">
        <v>6045</v>
      </c>
      <c r="G1934" t="s">
        <v>6046</v>
      </c>
      <c r="H1934" t="s">
        <v>6047</v>
      </c>
    </row>
    <row r="1935" spans="2:8" x14ac:dyDescent="0.55000000000000004">
      <c r="B1935" s="7"/>
      <c r="D1935" t="s">
        <v>6048</v>
      </c>
      <c r="E1935">
        <v>0</v>
      </c>
      <c r="F1935" t="s">
        <v>6049</v>
      </c>
      <c r="G1935" t="s">
        <v>6050</v>
      </c>
      <c r="H1935" t="s">
        <v>6051</v>
      </c>
    </row>
    <row r="1936" spans="2:8" x14ac:dyDescent="0.55000000000000004">
      <c r="B1936" s="7"/>
      <c r="D1936" t="s">
        <v>6052</v>
      </c>
      <c r="E1936">
        <v>0</v>
      </c>
      <c r="F1936" t="s">
        <v>6053</v>
      </c>
      <c r="G1936" t="s">
        <v>6054</v>
      </c>
      <c r="H1936" t="s">
        <v>6055</v>
      </c>
    </row>
    <row r="1937" spans="2:8" x14ac:dyDescent="0.55000000000000004">
      <c r="B1937" s="7"/>
      <c r="D1937" t="s">
        <v>6056</v>
      </c>
      <c r="E1937">
        <v>0</v>
      </c>
      <c r="F1937" t="s">
        <v>6057</v>
      </c>
      <c r="G1937" t="s">
        <v>6058</v>
      </c>
      <c r="H1937" t="s">
        <v>6059</v>
      </c>
    </row>
    <row r="1938" spans="2:8" x14ac:dyDescent="0.55000000000000004">
      <c r="B1938" s="7"/>
      <c r="D1938" t="s">
        <v>6060</v>
      </c>
      <c r="E1938">
        <v>0</v>
      </c>
      <c r="F1938" t="s">
        <v>6061</v>
      </c>
      <c r="G1938" t="s">
        <v>6062</v>
      </c>
      <c r="H1938" t="s">
        <v>6063</v>
      </c>
    </row>
    <row r="1939" spans="2:8" x14ac:dyDescent="0.55000000000000004">
      <c r="B1939" s="7"/>
      <c r="D1939" t="s">
        <v>6064</v>
      </c>
      <c r="E1939">
        <v>0</v>
      </c>
      <c r="F1939" t="s">
        <v>6065</v>
      </c>
      <c r="G1939" t="s">
        <v>6066</v>
      </c>
      <c r="H1939" t="s">
        <v>6067</v>
      </c>
    </row>
    <row r="1940" spans="2:8" x14ac:dyDescent="0.55000000000000004">
      <c r="B1940" s="7"/>
      <c r="D1940" t="s">
        <v>6081</v>
      </c>
      <c r="E1940">
        <v>1</v>
      </c>
      <c r="F1940" t="s">
        <v>6082</v>
      </c>
      <c r="G1940" t="s">
        <v>6083</v>
      </c>
      <c r="H1940" t="s">
        <v>6077</v>
      </c>
    </row>
    <row r="1941" spans="2:8" x14ac:dyDescent="0.55000000000000004">
      <c r="B1941" s="7"/>
      <c r="D1941" t="s">
        <v>6084</v>
      </c>
      <c r="E1941">
        <v>2</v>
      </c>
      <c r="F1941" t="s">
        <v>6085</v>
      </c>
      <c r="G1941" t="s">
        <v>6083</v>
      </c>
      <c r="H1941" t="s">
        <v>6077</v>
      </c>
    </row>
    <row r="1942" spans="2:8" x14ac:dyDescent="0.55000000000000004">
      <c r="B1942" s="7"/>
      <c r="D1942" t="s">
        <v>6086</v>
      </c>
      <c r="E1942">
        <v>3</v>
      </c>
      <c r="F1942" t="s">
        <v>6087</v>
      </c>
      <c r="G1942" t="s">
        <v>6083</v>
      </c>
      <c r="H1942" t="s">
        <v>6077</v>
      </c>
    </row>
    <row r="1943" spans="2:8" x14ac:dyDescent="0.55000000000000004">
      <c r="B1943" s="7"/>
      <c r="D1943" t="s">
        <v>6088</v>
      </c>
      <c r="E1943">
        <v>4</v>
      </c>
      <c r="F1943" t="s">
        <v>6089</v>
      </c>
      <c r="G1943" t="s">
        <v>6083</v>
      </c>
      <c r="H1943" t="s">
        <v>6077</v>
      </c>
    </row>
    <row r="1944" spans="2:8" x14ac:dyDescent="0.55000000000000004">
      <c r="B1944" s="7"/>
      <c r="D1944" t="s">
        <v>6090</v>
      </c>
      <c r="E1944">
        <v>5</v>
      </c>
      <c r="F1944" t="s">
        <v>6091</v>
      </c>
      <c r="G1944" t="s">
        <v>6083</v>
      </c>
      <c r="H1944" t="s">
        <v>6077</v>
      </c>
    </row>
    <row r="1945" spans="2:8" x14ac:dyDescent="0.55000000000000004">
      <c r="B1945" s="7"/>
      <c r="D1945" t="s">
        <v>6092</v>
      </c>
      <c r="E1945">
        <v>6</v>
      </c>
      <c r="F1945" t="s">
        <v>6093</v>
      </c>
      <c r="G1945" t="s">
        <v>6083</v>
      </c>
      <c r="H1945" t="s">
        <v>6077</v>
      </c>
    </row>
    <row r="1946" spans="2:8" x14ac:dyDescent="0.55000000000000004">
      <c r="B1946" s="7"/>
      <c r="D1946" t="s">
        <v>6094</v>
      </c>
      <c r="E1946">
        <v>7</v>
      </c>
      <c r="F1946" t="s">
        <v>6095</v>
      </c>
      <c r="G1946" t="s">
        <v>6083</v>
      </c>
      <c r="H1946" t="s">
        <v>6077</v>
      </c>
    </row>
    <row r="1947" spans="2:8" x14ac:dyDescent="0.55000000000000004">
      <c r="B1947" s="7"/>
      <c r="D1947" t="s">
        <v>6096</v>
      </c>
      <c r="E1947">
        <v>8</v>
      </c>
      <c r="F1947" t="s">
        <v>6097</v>
      </c>
      <c r="G1947" t="s">
        <v>6083</v>
      </c>
      <c r="H1947" t="s">
        <v>6077</v>
      </c>
    </row>
    <row r="1948" spans="2:8" x14ac:dyDescent="0.55000000000000004">
      <c r="B1948" s="7"/>
      <c r="D1948" t="s">
        <v>6098</v>
      </c>
      <c r="E1948">
        <v>9</v>
      </c>
      <c r="F1948" t="s">
        <v>6099</v>
      </c>
      <c r="G1948" t="s">
        <v>6083</v>
      </c>
      <c r="H1948" t="s">
        <v>6077</v>
      </c>
    </row>
    <row r="1949" spans="2:8" x14ac:dyDescent="0.55000000000000004">
      <c r="B1949" s="7"/>
      <c r="D1949" t="s">
        <v>6100</v>
      </c>
      <c r="E1949">
        <v>10</v>
      </c>
      <c r="F1949" t="s">
        <v>6101</v>
      </c>
      <c r="G1949" t="s">
        <v>6083</v>
      </c>
      <c r="H1949" t="s">
        <v>6077</v>
      </c>
    </row>
    <row r="1950" spans="2:8" x14ac:dyDescent="0.55000000000000004">
      <c r="B1950" s="7"/>
      <c r="D1950" t="s">
        <v>6102</v>
      </c>
      <c r="E1950">
        <v>11</v>
      </c>
      <c r="F1950" t="s">
        <v>6103</v>
      </c>
      <c r="G1950" t="s">
        <v>6083</v>
      </c>
      <c r="H1950" t="s">
        <v>6077</v>
      </c>
    </row>
    <row r="1951" spans="2:8" x14ac:dyDescent="0.55000000000000004">
      <c r="B1951" s="7"/>
      <c r="D1951" t="s">
        <v>6104</v>
      </c>
      <c r="E1951">
        <v>13</v>
      </c>
      <c r="F1951" t="s">
        <v>6105</v>
      </c>
      <c r="G1951" t="s">
        <v>6083</v>
      </c>
      <c r="H1951" t="s">
        <v>6077</v>
      </c>
    </row>
    <row r="1952" spans="2:8" x14ac:dyDescent="0.55000000000000004">
      <c r="B1952" s="7"/>
      <c r="D1952" t="s">
        <v>6106</v>
      </c>
      <c r="E1952">
        <v>14</v>
      </c>
      <c r="F1952" t="s">
        <v>6107</v>
      </c>
      <c r="G1952" t="s">
        <v>6083</v>
      </c>
      <c r="H1952" t="s">
        <v>6077</v>
      </c>
    </row>
    <row r="1953" spans="2:8" x14ac:dyDescent="0.55000000000000004">
      <c r="B1953" s="7"/>
      <c r="D1953" t="s">
        <v>6108</v>
      </c>
      <c r="E1953">
        <v>15</v>
      </c>
      <c r="F1953" t="s">
        <v>6109</v>
      </c>
      <c r="G1953" t="s">
        <v>6083</v>
      </c>
      <c r="H1953" t="s">
        <v>6077</v>
      </c>
    </row>
    <row r="1954" spans="2:8" x14ac:dyDescent="0.55000000000000004">
      <c r="B1954" s="7"/>
      <c r="D1954" t="s">
        <v>6110</v>
      </c>
      <c r="E1954">
        <v>16</v>
      </c>
      <c r="F1954" t="s">
        <v>6111</v>
      </c>
      <c r="G1954" t="s">
        <v>6083</v>
      </c>
      <c r="H1954" t="s">
        <v>6077</v>
      </c>
    </row>
    <row r="1955" spans="2:8" x14ac:dyDescent="0.55000000000000004">
      <c r="B1955" s="7"/>
      <c r="D1955" t="s">
        <v>6112</v>
      </c>
      <c r="E1955">
        <v>17</v>
      </c>
      <c r="F1955" t="s">
        <v>6113</v>
      </c>
      <c r="G1955" t="s">
        <v>6083</v>
      </c>
      <c r="H1955" t="s">
        <v>6077</v>
      </c>
    </row>
    <row r="1956" spans="2:8" x14ac:dyDescent="0.55000000000000004">
      <c r="B1956" s="7"/>
      <c r="D1956" t="s">
        <v>6114</v>
      </c>
      <c r="E1956">
        <v>19</v>
      </c>
      <c r="F1956" t="s">
        <v>6115</v>
      </c>
      <c r="G1956" t="s">
        <v>6083</v>
      </c>
      <c r="H1956" t="s">
        <v>6077</v>
      </c>
    </row>
    <row r="1957" spans="2:8" x14ac:dyDescent="0.55000000000000004">
      <c r="B1957" s="7"/>
      <c r="D1957" t="s">
        <v>6116</v>
      </c>
      <c r="E1957">
        <v>20</v>
      </c>
      <c r="F1957" t="s">
        <v>6117</v>
      </c>
      <c r="G1957" t="s">
        <v>6083</v>
      </c>
      <c r="H1957" t="s">
        <v>6077</v>
      </c>
    </row>
    <row r="1958" spans="2:8" x14ac:dyDescent="0.55000000000000004">
      <c r="B1958" s="7"/>
      <c r="D1958" t="s">
        <v>6118</v>
      </c>
      <c r="E1958">
        <v>21</v>
      </c>
      <c r="F1958" t="s">
        <v>6119</v>
      </c>
      <c r="G1958" t="s">
        <v>6083</v>
      </c>
      <c r="H1958" t="s">
        <v>6077</v>
      </c>
    </row>
    <row r="1959" spans="2:8" x14ac:dyDescent="0.55000000000000004">
      <c r="B1959" s="7"/>
      <c r="D1959" t="s">
        <v>6120</v>
      </c>
      <c r="E1959">
        <v>22</v>
      </c>
      <c r="F1959" t="s">
        <v>6121</v>
      </c>
      <c r="G1959" t="s">
        <v>6083</v>
      </c>
      <c r="H1959" t="s">
        <v>6077</v>
      </c>
    </row>
    <row r="1960" spans="2:8" x14ac:dyDescent="0.55000000000000004">
      <c r="B1960" s="7"/>
      <c r="D1960" t="s">
        <v>6122</v>
      </c>
      <c r="E1960">
        <v>23</v>
      </c>
      <c r="F1960" t="s">
        <v>6123</v>
      </c>
      <c r="G1960" t="s">
        <v>6083</v>
      </c>
      <c r="H1960" t="s">
        <v>6077</v>
      </c>
    </row>
    <row r="1961" spans="2:8" x14ac:dyDescent="0.55000000000000004">
      <c r="B1961" s="7"/>
      <c r="D1961" t="s">
        <v>6124</v>
      </c>
      <c r="E1961">
        <v>24</v>
      </c>
      <c r="F1961" t="s">
        <v>6125</v>
      </c>
      <c r="G1961" t="s">
        <v>6083</v>
      </c>
      <c r="H1961" t="s">
        <v>6077</v>
      </c>
    </row>
    <row r="1962" spans="2:8" x14ac:dyDescent="0.55000000000000004">
      <c r="B1962" s="7"/>
      <c r="D1962" t="s">
        <v>6126</v>
      </c>
      <c r="E1962">
        <v>25</v>
      </c>
      <c r="F1962" t="s">
        <v>6127</v>
      </c>
      <c r="G1962" t="s">
        <v>6083</v>
      </c>
      <c r="H1962" t="s">
        <v>6077</v>
      </c>
    </row>
    <row r="1963" spans="2:8" x14ac:dyDescent="0.55000000000000004">
      <c r="B1963" s="7"/>
      <c r="D1963" t="s">
        <v>6128</v>
      </c>
      <c r="E1963">
        <v>28</v>
      </c>
      <c r="F1963" t="s">
        <v>6107</v>
      </c>
      <c r="G1963" t="s">
        <v>6083</v>
      </c>
      <c r="H1963" t="s">
        <v>6077</v>
      </c>
    </row>
    <row r="1964" spans="2:8" x14ac:dyDescent="0.55000000000000004">
      <c r="B1964" s="7"/>
      <c r="D1964" t="s">
        <v>6129</v>
      </c>
      <c r="E1964">
        <v>30</v>
      </c>
      <c r="F1964" t="s">
        <v>6130</v>
      </c>
      <c r="G1964" t="s">
        <v>6083</v>
      </c>
      <c r="H1964" t="s">
        <v>6077</v>
      </c>
    </row>
    <row r="1965" spans="2:8" x14ac:dyDescent="0.55000000000000004">
      <c r="B1965" s="7"/>
      <c r="D1965" t="s">
        <v>6131</v>
      </c>
      <c r="E1965">
        <v>31</v>
      </c>
      <c r="F1965" t="s">
        <v>6132</v>
      </c>
      <c r="G1965" t="s">
        <v>6083</v>
      </c>
      <c r="H1965" t="s">
        <v>6077</v>
      </c>
    </row>
    <row r="1966" spans="2:8" x14ac:dyDescent="0.55000000000000004">
      <c r="B1966" s="7"/>
      <c r="D1966" t="s">
        <v>6133</v>
      </c>
      <c r="E1966">
        <v>32</v>
      </c>
      <c r="F1966" t="s">
        <v>6134</v>
      </c>
      <c r="G1966" t="s">
        <v>6083</v>
      </c>
      <c r="H1966" t="s">
        <v>6077</v>
      </c>
    </row>
    <row r="1967" spans="2:8" x14ac:dyDescent="0.55000000000000004">
      <c r="B1967" s="7"/>
      <c r="D1967" t="s">
        <v>6135</v>
      </c>
      <c r="E1967">
        <v>33</v>
      </c>
      <c r="F1967" t="s">
        <v>6136</v>
      </c>
      <c r="G1967" t="s">
        <v>6083</v>
      </c>
      <c r="H1967" t="s">
        <v>6077</v>
      </c>
    </row>
    <row r="1968" spans="2:8" x14ac:dyDescent="0.55000000000000004">
      <c r="B1968" s="7"/>
      <c r="D1968" t="s">
        <v>6137</v>
      </c>
      <c r="E1968">
        <v>34</v>
      </c>
      <c r="F1968" t="s">
        <v>6138</v>
      </c>
      <c r="G1968" t="s">
        <v>6083</v>
      </c>
      <c r="H1968" t="s">
        <v>6077</v>
      </c>
    </row>
    <row r="1969" spans="1:8" x14ac:dyDescent="0.55000000000000004">
      <c r="B1969" s="7"/>
      <c r="D1969" t="s">
        <v>6139</v>
      </c>
      <c r="E1969">
        <v>35</v>
      </c>
      <c r="F1969" t="s">
        <v>1047</v>
      </c>
      <c r="G1969" t="s">
        <v>6083</v>
      </c>
      <c r="H1969" t="s">
        <v>6077</v>
      </c>
    </row>
    <row r="1970" spans="1:8" x14ac:dyDescent="0.55000000000000004">
      <c r="B1970" s="7"/>
      <c r="D1970" t="s">
        <v>6140</v>
      </c>
      <c r="E1970">
        <v>36</v>
      </c>
      <c r="F1970" t="s">
        <v>6141</v>
      </c>
      <c r="G1970" t="s">
        <v>6083</v>
      </c>
      <c r="H1970" t="s">
        <v>6077</v>
      </c>
    </row>
    <row r="1971" spans="1:8" x14ac:dyDescent="0.55000000000000004">
      <c r="B1971" s="7"/>
      <c r="D1971" t="s">
        <v>6142</v>
      </c>
      <c r="E1971">
        <v>37</v>
      </c>
      <c r="F1971" t="s">
        <v>6143</v>
      </c>
      <c r="G1971" t="s">
        <v>6083</v>
      </c>
      <c r="H1971" t="s">
        <v>6077</v>
      </c>
    </row>
    <row r="1972" spans="1:8" x14ac:dyDescent="0.55000000000000004">
      <c r="B1972" s="7"/>
      <c r="D1972" t="s">
        <v>6144</v>
      </c>
      <c r="E1972">
        <v>38</v>
      </c>
      <c r="F1972" t="s">
        <v>6145</v>
      </c>
      <c r="G1972" t="s">
        <v>6083</v>
      </c>
      <c r="H1972" t="s">
        <v>6077</v>
      </c>
    </row>
    <row r="1973" spans="1:8" x14ac:dyDescent="0.55000000000000004">
      <c r="B1973" s="7"/>
      <c r="D1973" t="s">
        <v>6146</v>
      </c>
      <c r="E1973">
        <v>39</v>
      </c>
      <c r="F1973" t="s">
        <v>6147</v>
      </c>
      <c r="G1973" t="s">
        <v>6083</v>
      </c>
      <c r="H1973" t="s">
        <v>6077</v>
      </c>
    </row>
    <row r="1974" spans="1:8" x14ac:dyDescent="0.55000000000000004">
      <c r="B1974" s="7"/>
      <c r="D1974" t="s">
        <v>6148</v>
      </c>
      <c r="E1974">
        <v>40</v>
      </c>
      <c r="F1974" t="s">
        <v>6149</v>
      </c>
      <c r="G1974" t="s">
        <v>6083</v>
      </c>
      <c r="H1974" t="s">
        <v>6077</v>
      </c>
    </row>
    <row r="1975" spans="1:8" x14ac:dyDescent="0.55000000000000004">
      <c r="B1975" s="7"/>
      <c r="D1975" t="s">
        <v>6150</v>
      </c>
      <c r="E1975">
        <v>999</v>
      </c>
      <c r="F1975" t="s">
        <v>135</v>
      </c>
      <c r="G1975" t="s">
        <v>6083</v>
      </c>
      <c r="H1975" t="s">
        <v>6077</v>
      </c>
    </row>
    <row r="1976" spans="1:8" x14ac:dyDescent="0.55000000000000004">
      <c r="B1976" s="7"/>
      <c r="D1976" t="s">
        <v>6155</v>
      </c>
      <c r="E1976">
        <v>0</v>
      </c>
      <c r="F1976" t="s">
        <v>6156</v>
      </c>
      <c r="G1976" t="s">
        <v>6157</v>
      </c>
      <c r="H1976" t="s">
        <v>6158</v>
      </c>
    </row>
    <row r="1977" spans="1:8" x14ac:dyDescent="0.55000000000000004">
      <c r="A1977" s="13"/>
      <c r="B1977" s="14"/>
      <c r="C1977" s="13"/>
      <c r="D1977" t="s">
        <v>6163</v>
      </c>
      <c r="E1977">
        <v>0</v>
      </c>
      <c r="F1977" t="s">
        <v>6164</v>
      </c>
      <c r="G1977" t="s">
        <v>6165</v>
      </c>
      <c r="H1977" t="s">
        <v>6166</v>
      </c>
    </row>
    <row r="1978" spans="1:8" x14ac:dyDescent="0.55000000000000004">
      <c r="A1978" s="13"/>
      <c r="B1978" s="14"/>
      <c r="C1978" s="13"/>
      <c r="D1978" t="s">
        <v>6167</v>
      </c>
      <c r="E1978">
        <v>0</v>
      </c>
      <c r="F1978" t="s">
        <v>6168</v>
      </c>
      <c r="G1978" t="s">
        <v>6169</v>
      </c>
      <c r="H1978" t="s">
        <v>6170</v>
      </c>
    </row>
    <row r="1979" spans="1:8" x14ac:dyDescent="0.55000000000000004">
      <c r="A1979" s="13"/>
      <c r="B1979" s="14"/>
      <c r="C1979" s="13"/>
      <c r="D1979" t="s">
        <v>6171</v>
      </c>
      <c r="E1979">
        <v>0</v>
      </c>
      <c r="F1979" t="s">
        <v>6172</v>
      </c>
      <c r="G1979" t="s">
        <v>6173</v>
      </c>
      <c r="H1979" t="s">
        <v>6174</v>
      </c>
    </row>
    <row r="1980" spans="1:8" x14ac:dyDescent="0.55000000000000004">
      <c r="A1980" s="13"/>
      <c r="B1980" s="14"/>
      <c r="C1980" s="13"/>
      <c r="D1980" t="s">
        <v>6175</v>
      </c>
      <c r="E1980">
        <v>0</v>
      </c>
      <c r="F1980" t="s">
        <v>6176</v>
      </c>
      <c r="G1980" t="s">
        <v>6177</v>
      </c>
      <c r="H1980" t="s">
        <v>6178</v>
      </c>
    </row>
    <row r="1981" spans="1:8" x14ac:dyDescent="0.55000000000000004">
      <c r="A1981" s="13"/>
      <c r="B1981" s="14"/>
      <c r="C1981" s="13"/>
      <c r="D1981" t="s">
        <v>6179</v>
      </c>
      <c r="E1981">
        <v>0</v>
      </c>
      <c r="F1981" t="s">
        <v>6180</v>
      </c>
      <c r="G1981" t="s">
        <v>6181</v>
      </c>
      <c r="H1981" t="s">
        <v>6182</v>
      </c>
    </row>
    <row r="1982" spans="1:8" x14ac:dyDescent="0.55000000000000004">
      <c r="A1982" s="13"/>
      <c r="B1982" s="14"/>
      <c r="C1982" s="13"/>
      <c r="D1982" t="s">
        <v>6183</v>
      </c>
      <c r="E1982">
        <v>0</v>
      </c>
      <c r="F1982" t="s">
        <v>6184</v>
      </c>
      <c r="G1982" t="s">
        <v>6185</v>
      </c>
      <c r="H1982" t="s">
        <v>6186</v>
      </c>
    </row>
    <row r="1983" spans="1:8" x14ac:dyDescent="0.55000000000000004">
      <c r="A1983" s="13"/>
      <c r="B1983" s="14"/>
      <c r="C1983" s="13"/>
      <c r="D1983" t="s">
        <v>6187</v>
      </c>
      <c r="E1983">
        <v>0</v>
      </c>
      <c r="F1983" t="s">
        <v>6188</v>
      </c>
      <c r="G1983" t="s">
        <v>6189</v>
      </c>
      <c r="H1983" t="s">
        <v>6190</v>
      </c>
    </row>
    <row r="1984" spans="1:8" x14ac:dyDescent="0.55000000000000004">
      <c r="A1984" s="13"/>
      <c r="B1984" s="14"/>
      <c r="C1984" s="13"/>
      <c r="D1984" t="s">
        <v>6191</v>
      </c>
      <c r="E1984">
        <v>0</v>
      </c>
      <c r="F1984" t="s">
        <v>6192</v>
      </c>
      <c r="G1984" t="s">
        <v>6193</v>
      </c>
      <c r="H1984" t="s">
        <v>6194</v>
      </c>
    </row>
    <row r="1985" spans="1:8" x14ac:dyDescent="0.55000000000000004">
      <c r="A1985" s="13"/>
      <c r="B1985" s="14"/>
      <c r="C1985" s="13"/>
      <c r="D1985" t="s">
        <v>6195</v>
      </c>
      <c r="E1985">
        <v>0</v>
      </c>
      <c r="F1985" t="s">
        <v>6196</v>
      </c>
      <c r="G1985" t="s">
        <v>6197</v>
      </c>
      <c r="H1985" t="s">
        <v>6198</v>
      </c>
    </row>
    <row r="1986" spans="1:8" x14ac:dyDescent="0.55000000000000004">
      <c r="A1986" s="13"/>
      <c r="B1986" s="14"/>
      <c r="C1986" s="13"/>
      <c r="D1986" t="s">
        <v>6199</v>
      </c>
      <c r="E1986">
        <v>0</v>
      </c>
      <c r="F1986" t="s">
        <v>6200</v>
      </c>
      <c r="G1986" t="s">
        <v>6201</v>
      </c>
      <c r="H1986" t="s">
        <v>6202</v>
      </c>
    </row>
    <row r="1987" spans="1:8" x14ac:dyDescent="0.55000000000000004">
      <c r="A1987" s="13"/>
      <c r="B1987" s="14"/>
      <c r="C1987" s="13"/>
      <c r="D1987" t="s">
        <v>6203</v>
      </c>
      <c r="E1987">
        <v>0</v>
      </c>
      <c r="F1987" t="s">
        <v>6204</v>
      </c>
      <c r="G1987" t="s">
        <v>6205</v>
      </c>
      <c r="H1987" t="s">
        <v>6206</v>
      </c>
    </row>
    <row r="1988" spans="1:8" x14ac:dyDescent="0.55000000000000004">
      <c r="A1988" s="13"/>
      <c r="B1988" s="14"/>
      <c r="C1988" s="13"/>
      <c r="D1988" t="s">
        <v>6207</v>
      </c>
      <c r="E1988">
        <v>0</v>
      </c>
      <c r="F1988" t="s">
        <v>6208</v>
      </c>
      <c r="G1988" t="s">
        <v>6209</v>
      </c>
      <c r="H1988" t="s">
        <v>6210</v>
      </c>
    </row>
    <row r="1989" spans="1:8" x14ac:dyDescent="0.55000000000000004">
      <c r="A1989" s="13"/>
      <c r="B1989" s="14"/>
      <c r="C1989" s="13"/>
      <c r="D1989" t="s">
        <v>6211</v>
      </c>
      <c r="E1989">
        <v>0</v>
      </c>
      <c r="F1989" t="s">
        <v>6212</v>
      </c>
      <c r="G1989" t="s">
        <v>6213</v>
      </c>
      <c r="H1989" t="s">
        <v>6214</v>
      </c>
    </row>
    <row r="1990" spans="1:8" x14ac:dyDescent="0.55000000000000004">
      <c r="A1990" s="13"/>
      <c r="B1990" s="14"/>
      <c r="C1990" s="13"/>
      <c r="D1990" t="s">
        <v>6215</v>
      </c>
      <c r="E1990">
        <v>0</v>
      </c>
      <c r="F1990" t="s">
        <v>6216</v>
      </c>
      <c r="G1990" t="s">
        <v>6217</v>
      </c>
      <c r="H1990" t="s">
        <v>6218</v>
      </c>
    </row>
    <row r="1991" spans="1:8" x14ac:dyDescent="0.55000000000000004">
      <c r="A1991" s="13"/>
      <c r="B1991" s="14"/>
      <c r="C1991" s="13"/>
      <c r="D1991" t="s">
        <v>6219</v>
      </c>
      <c r="E1991">
        <v>0</v>
      </c>
      <c r="F1991" t="s">
        <v>6220</v>
      </c>
      <c r="G1991" t="s">
        <v>6221</v>
      </c>
      <c r="H1991" t="s">
        <v>6222</v>
      </c>
    </row>
    <row r="1992" spans="1:8" x14ac:dyDescent="0.55000000000000004">
      <c r="A1992" s="13"/>
      <c r="B1992" s="14"/>
      <c r="C1992" s="13"/>
      <c r="D1992" t="s">
        <v>6223</v>
      </c>
      <c r="E1992">
        <v>0</v>
      </c>
      <c r="F1992" t="s">
        <v>6224</v>
      </c>
      <c r="G1992" t="s">
        <v>6225</v>
      </c>
      <c r="H1992" t="s">
        <v>6226</v>
      </c>
    </row>
    <row r="1993" spans="1:8" x14ac:dyDescent="0.55000000000000004">
      <c r="A1993" s="13"/>
      <c r="B1993" s="14"/>
      <c r="C1993" s="13"/>
      <c r="D1993" t="s">
        <v>6227</v>
      </c>
      <c r="E1993">
        <v>0</v>
      </c>
      <c r="F1993" t="s">
        <v>6228</v>
      </c>
      <c r="G1993" t="s">
        <v>6229</v>
      </c>
      <c r="H1993" t="s">
        <v>6230</v>
      </c>
    </row>
    <row r="1994" spans="1:8" x14ac:dyDescent="0.55000000000000004">
      <c r="A1994" s="13"/>
      <c r="B1994" s="14"/>
      <c r="C1994" s="13"/>
      <c r="D1994" t="s">
        <v>6231</v>
      </c>
      <c r="E1994">
        <v>0</v>
      </c>
      <c r="F1994" t="s">
        <v>6232</v>
      </c>
      <c r="G1994" t="s">
        <v>6233</v>
      </c>
      <c r="H1994" t="s">
        <v>6234</v>
      </c>
    </row>
    <row r="1995" spans="1:8" x14ac:dyDescent="0.55000000000000004">
      <c r="A1995" s="13"/>
      <c r="B1995" s="14"/>
      <c r="C1995" s="13"/>
      <c r="D1995" t="s">
        <v>6235</v>
      </c>
      <c r="E1995">
        <v>0</v>
      </c>
      <c r="F1995" t="s">
        <v>6236</v>
      </c>
      <c r="G1995" t="s">
        <v>6237</v>
      </c>
      <c r="H1995" t="s">
        <v>6238</v>
      </c>
    </row>
    <row r="1996" spans="1:8" x14ac:dyDescent="0.55000000000000004">
      <c r="A1996" s="13"/>
      <c r="B1996" s="14"/>
      <c r="C1996" s="13"/>
      <c r="D1996" t="s">
        <v>6239</v>
      </c>
      <c r="E1996">
        <v>0</v>
      </c>
      <c r="F1996" t="s">
        <v>6240</v>
      </c>
      <c r="G1996" t="s">
        <v>6241</v>
      </c>
      <c r="H1996" t="s">
        <v>6242</v>
      </c>
    </row>
    <row r="1997" spans="1:8" x14ac:dyDescent="0.55000000000000004">
      <c r="A1997" s="13"/>
      <c r="B1997" s="14"/>
      <c r="C1997" s="13"/>
      <c r="D1997" t="s">
        <v>6243</v>
      </c>
      <c r="E1997">
        <v>0</v>
      </c>
      <c r="F1997" t="s">
        <v>6244</v>
      </c>
      <c r="G1997" t="s">
        <v>6245</v>
      </c>
      <c r="H1997" t="s">
        <v>6246</v>
      </c>
    </row>
    <row r="1998" spans="1:8" x14ac:dyDescent="0.55000000000000004">
      <c r="A1998" s="13"/>
      <c r="B1998" s="14"/>
      <c r="C1998" s="13"/>
      <c r="D1998" t="s">
        <v>6247</v>
      </c>
      <c r="E1998">
        <v>0</v>
      </c>
      <c r="F1998" t="s">
        <v>6248</v>
      </c>
      <c r="G1998" t="s">
        <v>6249</v>
      </c>
      <c r="H1998" t="s">
        <v>6250</v>
      </c>
    </row>
    <row r="1999" spans="1:8" x14ac:dyDescent="0.55000000000000004">
      <c r="A1999" s="13"/>
      <c r="B1999" s="14"/>
      <c r="C1999" s="13"/>
      <c r="D1999" t="s">
        <v>6251</v>
      </c>
      <c r="E1999">
        <v>0</v>
      </c>
      <c r="F1999" t="s">
        <v>6252</v>
      </c>
      <c r="G1999" t="s">
        <v>6253</v>
      </c>
      <c r="H1999" t="s">
        <v>6254</v>
      </c>
    </row>
    <row r="2000" spans="1:8" x14ac:dyDescent="0.55000000000000004">
      <c r="A2000" s="13"/>
      <c r="B2000" s="14"/>
      <c r="C2000" s="13"/>
      <c r="D2000" t="s">
        <v>6255</v>
      </c>
      <c r="E2000">
        <v>0</v>
      </c>
      <c r="F2000" t="s">
        <v>6256</v>
      </c>
      <c r="G2000" t="s">
        <v>6257</v>
      </c>
      <c r="H2000" t="s">
        <v>6258</v>
      </c>
    </row>
    <row r="2001" spans="1:8" x14ac:dyDescent="0.55000000000000004">
      <c r="A2001" s="13"/>
      <c r="B2001" s="14"/>
      <c r="C2001" s="13"/>
      <c r="D2001" t="s">
        <v>6259</v>
      </c>
      <c r="E2001">
        <v>0</v>
      </c>
      <c r="F2001" t="s">
        <v>6260</v>
      </c>
      <c r="G2001" t="s">
        <v>6261</v>
      </c>
      <c r="H2001" t="s">
        <v>6262</v>
      </c>
    </row>
    <row r="2002" spans="1:8" x14ac:dyDescent="0.55000000000000004">
      <c r="A2002" s="13"/>
      <c r="B2002" s="14"/>
      <c r="C2002" s="13"/>
      <c r="D2002" t="s">
        <v>6263</v>
      </c>
      <c r="E2002">
        <v>0</v>
      </c>
      <c r="F2002" t="s">
        <v>6264</v>
      </c>
      <c r="G2002" t="s">
        <v>6265</v>
      </c>
      <c r="H2002" t="s">
        <v>6266</v>
      </c>
    </row>
    <row r="2003" spans="1:8" x14ac:dyDescent="0.55000000000000004">
      <c r="A2003" s="9"/>
      <c r="B2003" s="8"/>
      <c r="C2003" s="9"/>
      <c r="D2003" t="s">
        <v>6271</v>
      </c>
      <c r="E2003">
        <v>0</v>
      </c>
      <c r="F2003" t="s">
        <v>6272</v>
      </c>
      <c r="G2003" t="s">
        <v>6273</v>
      </c>
      <c r="H2003" t="s">
        <v>6274</v>
      </c>
    </row>
    <row r="2004" spans="1:8" x14ac:dyDescent="0.55000000000000004">
      <c r="A2004" s="9"/>
      <c r="B2004" s="8"/>
      <c r="C2004" s="9"/>
      <c r="D2004" t="s">
        <v>6275</v>
      </c>
      <c r="E2004">
        <v>0</v>
      </c>
      <c r="F2004" t="s">
        <v>6276</v>
      </c>
      <c r="G2004" t="s">
        <v>6277</v>
      </c>
      <c r="H2004" t="s">
        <v>6278</v>
      </c>
    </row>
    <row r="2005" spans="1:8" x14ac:dyDescent="0.55000000000000004">
      <c r="A2005" s="9"/>
      <c r="B2005" s="8"/>
      <c r="C2005" s="9"/>
      <c r="D2005" t="s">
        <v>6279</v>
      </c>
      <c r="E2005">
        <v>0</v>
      </c>
      <c r="F2005" t="s">
        <v>6280</v>
      </c>
      <c r="G2005" t="s">
        <v>6281</v>
      </c>
      <c r="H2005" t="s">
        <v>6282</v>
      </c>
    </row>
    <row r="2006" spans="1:8" x14ac:dyDescent="0.55000000000000004">
      <c r="A2006" s="9"/>
      <c r="B2006" s="8"/>
      <c r="C2006" s="9"/>
      <c r="D2006" t="s">
        <v>6283</v>
      </c>
      <c r="E2006">
        <v>0</v>
      </c>
      <c r="F2006" t="s">
        <v>6284</v>
      </c>
      <c r="G2006" t="s">
        <v>6285</v>
      </c>
      <c r="H2006" t="s">
        <v>6286</v>
      </c>
    </row>
    <row r="2007" spans="1:8" x14ac:dyDescent="0.55000000000000004">
      <c r="A2007" s="9"/>
      <c r="B2007" s="8"/>
      <c r="C2007" s="9"/>
      <c r="D2007" t="s">
        <v>6287</v>
      </c>
      <c r="E2007">
        <v>0</v>
      </c>
      <c r="F2007" t="s">
        <v>6288</v>
      </c>
      <c r="G2007" t="s">
        <v>6289</v>
      </c>
      <c r="H2007" t="s">
        <v>6290</v>
      </c>
    </row>
    <row r="2008" spans="1:8" x14ac:dyDescent="0.55000000000000004">
      <c r="A2008" s="9"/>
      <c r="B2008" s="8"/>
      <c r="C2008" s="9"/>
      <c r="D2008" t="s">
        <v>6291</v>
      </c>
      <c r="E2008">
        <v>0</v>
      </c>
      <c r="F2008" t="s">
        <v>6292</v>
      </c>
      <c r="G2008" t="s">
        <v>6293</v>
      </c>
      <c r="H2008" t="s">
        <v>6294</v>
      </c>
    </row>
    <row r="2009" spans="1:8" x14ac:dyDescent="0.55000000000000004">
      <c r="D2009" t="s">
        <v>6295</v>
      </c>
      <c r="E2009">
        <v>0</v>
      </c>
      <c r="F2009" t="s">
        <v>6296</v>
      </c>
      <c r="G2009" t="s">
        <v>6297</v>
      </c>
      <c r="H2009" t="s">
        <v>6298</v>
      </c>
    </row>
  </sheetData>
  <sortState xmlns:xlrd2="http://schemas.microsoft.com/office/spreadsheetml/2017/richdata2" ref="A2:H2010">
    <sortCondition ref="B2:B201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6881A-2967-4B24-9B1A-BDC1E6CA09FA}">
  <dimension ref="A1:I2009"/>
  <sheetViews>
    <sheetView workbookViewId="0">
      <pane ySplit="1" topLeftCell="A2" activePane="bottomLeft" state="frozen"/>
      <selection pane="bottomLeft" activeCell="A2" sqref="A2"/>
    </sheetView>
  </sheetViews>
  <sheetFormatPr defaultRowHeight="14.4" x14ac:dyDescent="0.55000000000000004"/>
  <cols>
    <col min="1" max="1" width="11.68359375" customWidth="1"/>
    <col min="2" max="2" width="21.62890625" customWidth="1"/>
    <col min="3" max="3" width="36.5234375" bestFit="1" customWidth="1"/>
    <col min="4" max="4" width="18.578125" bestFit="1" customWidth="1"/>
    <col min="5" max="5" width="15.68359375" bestFit="1" customWidth="1"/>
    <col min="6" max="6" width="9.5234375" bestFit="1" customWidth="1"/>
    <col min="7" max="7" width="30.26171875" bestFit="1" customWidth="1"/>
    <col min="8" max="8" width="17.62890625" customWidth="1"/>
    <col min="9" max="9" width="44.734375" customWidth="1"/>
  </cols>
  <sheetData>
    <row r="1" spans="1:9" ht="42.6" x14ac:dyDescent="0.55000000000000004">
      <c r="A1" t="s">
        <v>7940</v>
      </c>
      <c r="B1" s="22" t="s">
        <v>6956</v>
      </c>
      <c r="C1" s="23" t="s">
        <v>6955</v>
      </c>
      <c r="D1" s="23" t="s">
        <v>6957</v>
      </c>
      <c r="E1" s="24" t="s">
        <v>6960</v>
      </c>
      <c r="F1" s="25" t="s">
        <v>6958</v>
      </c>
      <c r="G1" s="25" t="s">
        <v>6959</v>
      </c>
      <c r="H1" s="25" t="s">
        <v>6961</v>
      </c>
      <c r="I1" s="25" t="s">
        <v>3</v>
      </c>
    </row>
    <row r="2" spans="1:9" x14ac:dyDescent="0.55000000000000004">
      <c r="A2" s="12" t="s">
        <v>6988</v>
      </c>
      <c r="B2" t="s">
        <v>6791</v>
      </c>
      <c r="C2" s="7" t="str">
        <f>HYPERLINK("[#]Feature_Schema_1!A35162:F35162","GEOTHERMAL_OUTLET_P")</f>
        <v>GEOTHERMAL_OUTLET_P</v>
      </c>
      <c r="D2" t="s">
        <v>6491</v>
      </c>
      <c r="E2" t="s">
        <v>2946</v>
      </c>
      <c r="F2">
        <v>0</v>
      </c>
      <c r="G2" t="s">
        <v>2947</v>
      </c>
      <c r="H2" t="s">
        <v>2948</v>
      </c>
      <c r="I2" t="s">
        <v>2949</v>
      </c>
    </row>
    <row r="3" spans="1:9" x14ac:dyDescent="0.55000000000000004">
      <c r="A3" t="s">
        <v>6988</v>
      </c>
      <c r="B3" t="s">
        <v>6742</v>
      </c>
      <c r="C3" s="7" t="str">
        <f>HYPERLINK("[#]Feature_Schema_1!A3:F3","ADMINISTRATIVE_BOUNDARY_C")</f>
        <v>ADMINISTRATIVE_BOUNDARY_C</v>
      </c>
      <c r="D3" t="s">
        <v>6346</v>
      </c>
      <c r="E3" t="s">
        <v>3417</v>
      </c>
      <c r="F3">
        <v>0</v>
      </c>
      <c r="G3" t="s">
        <v>3418</v>
      </c>
      <c r="H3" t="s">
        <v>3419</v>
      </c>
      <c r="I3" t="s">
        <v>3420</v>
      </c>
    </row>
    <row r="4" spans="1:9" x14ac:dyDescent="0.55000000000000004">
      <c r="A4" t="s">
        <v>6988</v>
      </c>
      <c r="B4" t="s">
        <v>6743</v>
      </c>
      <c r="C4" s="7" t="str">
        <f>HYPERLINK("[#]Feature_Schema_1!A140:F140","ADMINISTRATIVE_SUBDIVISION_S")</f>
        <v>ADMINISTRATIVE_SUBDIVISION_S</v>
      </c>
      <c r="D4" t="s">
        <v>6347</v>
      </c>
      <c r="E4" t="s">
        <v>3429</v>
      </c>
      <c r="F4">
        <v>0</v>
      </c>
      <c r="G4" t="s">
        <v>3430</v>
      </c>
      <c r="H4" t="s">
        <v>3431</v>
      </c>
      <c r="I4" t="s">
        <v>3432</v>
      </c>
    </row>
    <row r="5" spans="1:9" x14ac:dyDescent="0.55000000000000004">
      <c r="A5" t="s">
        <v>6988</v>
      </c>
      <c r="B5" t="s">
        <v>6744</v>
      </c>
      <c r="C5" s="7" t="str">
        <f>HYPERLINK("[#]Feature_Schema_1!A184:F184","AERATION_BASIN_S")</f>
        <v>AERATION_BASIN_S</v>
      </c>
      <c r="D5" t="s">
        <v>6348</v>
      </c>
      <c r="E5" t="s">
        <v>64</v>
      </c>
      <c r="F5">
        <v>0</v>
      </c>
      <c r="G5" t="s">
        <v>65</v>
      </c>
      <c r="H5" t="s">
        <v>66</v>
      </c>
      <c r="I5" t="s">
        <v>67</v>
      </c>
    </row>
    <row r="6" spans="1:9" x14ac:dyDescent="0.55000000000000004">
      <c r="A6" t="s">
        <v>6988</v>
      </c>
      <c r="B6" t="s">
        <v>6746</v>
      </c>
      <c r="C6" s="7" t="str">
        <f>HYPERLINK("[#]Feature_Schema_1!A369:F369","AERIAL_FARM_S")</f>
        <v>AERIAL_FARM_S</v>
      </c>
      <c r="D6" t="s">
        <v>6349</v>
      </c>
      <c r="E6" t="s">
        <v>1802</v>
      </c>
      <c r="F6">
        <v>0</v>
      </c>
      <c r="G6" t="s">
        <v>1803</v>
      </c>
      <c r="H6" t="s">
        <v>1804</v>
      </c>
      <c r="I6" t="s">
        <v>1805</v>
      </c>
    </row>
    <row r="7" spans="1:9" x14ac:dyDescent="0.55000000000000004">
      <c r="A7" t="s">
        <v>6988</v>
      </c>
      <c r="B7" t="s">
        <v>6745</v>
      </c>
      <c r="C7" s="7" t="str">
        <f>HYPERLINK("[#]Feature_Schema_1!A472:F472","AERIAL_P")</f>
        <v>AERIAL_P</v>
      </c>
      <c r="D7" t="s">
        <v>6350</v>
      </c>
      <c r="E7" t="s">
        <v>1798</v>
      </c>
      <c r="F7">
        <v>0</v>
      </c>
      <c r="G7" t="s">
        <v>1799</v>
      </c>
      <c r="H7" t="s">
        <v>1800</v>
      </c>
      <c r="I7" t="s">
        <v>1801</v>
      </c>
    </row>
    <row r="8" spans="1:9" x14ac:dyDescent="0.55000000000000004">
      <c r="A8" t="s">
        <v>6988</v>
      </c>
      <c r="B8" t="s">
        <v>6748</v>
      </c>
      <c r="C8" s="7" t="str">
        <f>HYPERLINK("[#]Feature_Schema_1!A838:F838","AIRCRAFT_HANGAR_P")</f>
        <v>AIRCRAFT_HANGAR_P</v>
      </c>
      <c r="D8" t="s">
        <v>6353</v>
      </c>
      <c r="E8" t="s">
        <v>3850</v>
      </c>
      <c r="F8">
        <v>0</v>
      </c>
      <c r="G8" t="s">
        <v>3851</v>
      </c>
      <c r="H8" t="s">
        <v>3852</v>
      </c>
      <c r="I8" t="s">
        <v>3853</v>
      </c>
    </row>
    <row r="9" spans="1:9" x14ac:dyDescent="0.55000000000000004">
      <c r="A9" t="s">
        <v>6988</v>
      </c>
      <c r="B9" t="s">
        <v>6751</v>
      </c>
      <c r="C9" s="7" t="str">
        <f>HYPERLINK("[#]Feature_Schema_1!A1271:F1271","AMPHITHEATRE_S")</f>
        <v>AMPHITHEATRE_S</v>
      </c>
      <c r="D9" t="s">
        <v>6354</v>
      </c>
      <c r="E9" t="s">
        <v>427</v>
      </c>
      <c r="F9">
        <v>0</v>
      </c>
      <c r="G9" t="s">
        <v>428</v>
      </c>
      <c r="H9" t="s">
        <v>429</v>
      </c>
      <c r="I9" t="s">
        <v>430</v>
      </c>
    </row>
    <row r="10" spans="1:9" x14ac:dyDescent="0.55000000000000004">
      <c r="A10" t="s">
        <v>6988</v>
      </c>
      <c r="B10" t="s">
        <v>6750</v>
      </c>
      <c r="C10" s="7" t="str">
        <f>HYPERLINK("[#]Feature_Schema_1!A1408:F1408","AMUSEMENT_PARK_ATTRACTION_P")</f>
        <v>AMUSEMENT_PARK_ATTRACTION_P</v>
      </c>
      <c r="D10" t="s">
        <v>6355</v>
      </c>
      <c r="E10" t="s">
        <v>323</v>
      </c>
      <c r="F10">
        <v>0</v>
      </c>
      <c r="G10" t="s">
        <v>324</v>
      </c>
      <c r="H10" t="s">
        <v>325</v>
      </c>
      <c r="I10" t="s">
        <v>326</v>
      </c>
    </row>
    <row r="11" spans="1:9" x14ac:dyDescent="0.55000000000000004">
      <c r="A11" t="s">
        <v>6988</v>
      </c>
      <c r="B11" t="s">
        <v>6751</v>
      </c>
      <c r="C11" s="7" t="str">
        <f>HYPERLINK("[#]Feature_Schema_1!A1736:F1736","AMUSEMENT_PARK_S")</f>
        <v>AMUSEMENT_PARK_S</v>
      </c>
      <c r="D11" t="s">
        <v>6356</v>
      </c>
      <c r="E11" t="s">
        <v>327</v>
      </c>
      <c r="F11">
        <v>0</v>
      </c>
      <c r="G11" t="s">
        <v>328</v>
      </c>
      <c r="H11" t="s">
        <v>329</v>
      </c>
      <c r="I11" t="s">
        <v>330</v>
      </c>
    </row>
    <row r="12" spans="1:9" x14ac:dyDescent="0.55000000000000004">
      <c r="A12" t="s">
        <v>6988</v>
      </c>
      <c r="B12" t="s">
        <v>6753</v>
      </c>
      <c r="C12" s="7" t="str">
        <f>HYPERLINK("[#]Feature_Schema_1!A1908:F1908","ANCHOR_P")</f>
        <v>ANCHOR_P</v>
      </c>
      <c r="D12" t="s">
        <v>6357</v>
      </c>
      <c r="E12" t="s">
        <v>1942</v>
      </c>
      <c r="F12">
        <v>0</v>
      </c>
      <c r="G12" t="s">
        <v>1943</v>
      </c>
      <c r="H12" t="s">
        <v>1944</v>
      </c>
      <c r="I12" t="s">
        <v>1945</v>
      </c>
    </row>
    <row r="13" spans="1:9" x14ac:dyDescent="0.55000000000000004">
      <c r="A13" t="s">
        <v>6988</v>
      </c>
      <c r="B13" t="s">
        <v>6754</v>
      </c>
      <c r="C13" s="7" t="str">
        <f>HYPERLINK("[#]Feature_Schema_1!A2028:F2028","ANCHORAGE_S")</f>
        <v>ANCHORAGE_S</v>
      </c>
      <c r="D13" t="s">
        <v>6358</v>
      </c>
      <c r="E13" t="s">
        <v>1926</v>
      </c>
      <c r="F13">
        <v>0</v>
      </c>
      <c r="G13" t="s">
        <v>1927</v>
      </c>
      <c r="H13" t="s">
        <v>1928</v>
      </c>
      <c r="I13" t="s">
        <v>1929</v>
      </c>
    </row>
    <row r="14" spans="1:9" x14ac:dyDescent="0.55000000000000004">
      <c r="A14" t="s">
        <v>6988</v>
      </c>
      <c r="B14" t="s">
        <v>6756</v>
      </c>
      <c r="C14" s="7" t="str">
        <f>HYPERLINK("[#]Feature_Schema_1!A2147:F2147","ANNOTATED_LOCATION_P")</f>
        <v>ANNOTATED_LOCATION_P</v>
      </c>
      <c r="D14" t="s">
        <v>6359</v>
      </c>
      <c r="E14" t="s">
        <v>6151</v>
      </c>
      <c r="F14">
        <v>0</v>
      </c>
      <c r="G14" t="s">
        <v>6152</v>
      </c>
      <c r="H14" t="s">
        <v>6153</v>
      </c>
      <c r="I14" t="s">
        <v>6154</v>
      </c>
    </row>
    <row r="15" spans="1:9" x14ac:dyDescent="0.55000000000000004">
      <c r="A15" t="s">
        <v>6988</v>
      </c>
      <c r="B15" t="s">
        <v>6759</v>
      </c>
      <c r="C15" s="7" t="str">
        <f>HYPERLINK("[#]Feature_Schema_1!A2357:F2357","ANTI_AIRCRAFT_ARTILLERY_SITE_S")</f>
        <v>ANTI_AIRCRAFT_ARTILLERY_SITE_S</v>
      </c>
      <c r="D15" t="s">
        <v>6360</v>
      </c>
      <c r="E15" t="s">
        <v>1022</v>
      </c>
      <c r="F15">
        <v>0</v>
      </c>
      <c r="G15" t="s">
        <v>1023</v>
      </c>
      <c r="H15" t="s">
        <v>1024</v>
      </c>
      <c r="I15" t="s">
        <v>1025</v>
      </c>
    </row>
    <row r="16" spans="1:9" x14ac:dyDescent="0.55000000000000004">
      <c r="A16" t="s">
        <v>6988</v>
      </c>
      <c r="B16" t="s">
        <v>6749</v>
      </c>
      <c r="C16" s="7" t="str">
        <f>HYPERLINK("[#]Feature_Schema_1!A2469:F2469","APRON_S")</f>
        <v>APRON_S</v>
      </c>
      <c r="D16" t="s">
        <v>6361</v>
      </c>
      <c r="E16" t="s">
        <v>3750</v>
      </c>
      <c r="F16">
        <v>0</v>
      </c>
      <c r="G16" t="s">
        <v>3751</v>
      </c>
      <c r="H16" t="s">
        <v>3752</v>
      </c>
      <c r="I16" t="s">
        <v>3753</v>
      </c>
    </row>
    <row r="17" spans="1:9" x14ac:dyDescent="0.55000000000000004">
      <c r="A17" t="s">
        <v>6988</v>
      </c>
      <c r="B17" t="s">
        <v>6761</v>
      </c>
      <c r="C17" s="7" t="str">
        <f>HYPERLINK("[#]Feature_Schema_1!A2789:F2789","AQUATIC_VEGETATION_S")</f>
        <v>AQUATIC_VEGETATION_S</v>
      </c>
      <c r="D17" t="s">
        <v>6362</v>
      </c>
      <c r="E17" t="s">
        <v>2275</v>
      </c>
      <c r="F17">
        <v>0</v>
      </c>
      <c r="G17" t="s">
        <v>2276</v>
      </c>
      <c r="H17" t="s">
        <v>2277</v>
      </c>
      <c r="I17" t="s">
        <v>2278</v>
      </c>
    </row>
    <row r="18" spans="1:9" x14ac:dyDescent="0.55000000000000004">
      <c r="A18" t="s">
        <v>6988</v>
      </c>
      <c r="B18" t="s">
        <v>6763</v>
      </c>
      <c r="C18" s="7" t="str">
        <f>HYPERLINK("[#]Feature_Schema_1!A3076:F3076","AQUEDUCT_C")</f>
        <v>AQUEDUCT_C</v>
      </c>
      <c r="D18" t="s">
        <v>6364</v>
      </c>
      <c r="E18" t="s">
        <v>2492</v>
      </c>
      <c r="F18">
        <v>0</v>
      </c>
      <c r="G18" t="s">
        <v>2493</v>
      </c>
      <c r="H18" t="s">
        <v>2494</v>
      </c>
      <c r="I18" t="s">
        <v>2495</v>
      </c>
    </row>
    <row r="19" spans="1:9" x14ac:dyDescent="0.55000000000000004">
      <c r="A19" t="s">
        <v>6988</v>
      </c>
      <c r="B19" t="s">
        <v>6769</v>
      </c>
      <c r="C19" s="7" t="str">
        <f>HYPERLINK("[#]Feature_Schema_1!A4152:F4152","ARCHAEOLOGICAL_SITE_S")</f>
        <v>ARCHAEOLOGICAL_SITE_S</v>
      </c>
      <c r="D19" t="s">
        <v>6367</v>
      </c>
      <c r="E19" t="s">
        <v>471</v>
      </c>
      <c r="F19">
        <v>0</v>
      </c>
      <c r="G19" t="s">
        <v>472</v>
      </c>
      <c r="H19" t="s">
        <v>473</v>
      </c>
      <c r="I19" t="s">
        <v>474</v>
      </c>
    </row>
    <row r="20" spans="1:9" x14ac:dyDescent="0.55000000000000004">
      <c r="A20" t="s">
        <v>6988</v>
      </c>
      <c r="B20" t="s">
        <v>6770</v>
      </c>
      <c r="C20" s="7" t="str">
        <f>HYPERLINK("[#]Feature_Schema_1!A4205:F4205","ASPHALT_LAKE_S")</f>
        <v>ASPHALT_LAKE_S</v>
      </c>
      <c r="D20" t="s">
        <v>6368</v>
      </c>
      <c r="E20" t="s">
        <v>2868</v>
      </c>
      <c r="F20">
        <v>0</v>
      </c>
      <c r="G20" t="s">
        <v>2869</v>
      </c>
      <c r="H20" t="s">
        <v>2870</v>
      </c>
      <c r="I20" t="s">
        <v>2871</v>
      </c>
    </row>
    <row r="21" spans="1:9" x14ac:dyDescent="0.55000000000000004">
      <c r="A21" t="s">
        <v>6988</v>
      </c>
      <c r="B21" t="s">
        <v>6771</v>
      </c>
      <c r="C21" s="7" t="str">
        <f>HYPERLINK("[#]Feature_Schema_1!A4244:F4244","ASTRONOMICAL_OBSERVATORY_P")</f>
        <v>ASTRONOMICAL_OBSERVATORY_P</v>
      </c>
      <c r="D21" t="s">
        <v>6369</v>
      </c>
      <c r="E21" t="s">
        <v>1042</v>
      </c>
      <c r="F21">
        <v>0</v>
      </c>
      <c r="G21" t="s">
        <v>1043</v>
      </c>
      <c r="H21" t="s">
        <v>1044</v>
      </c>
      <c r="I21" t="s">
        <v>1045</v>
      </c>
    </row>
    <row r="22" spans="1:9" x14ac:dyDescent="0.55000000000000004">
      <c r="A22" t="s">
        <v>6988</v>
      </c>
      <c r="B22" t="s">
        <v>6773</v>
      </c>
      <c r="C22" s="7" t="str">
        <f>HYPERLINK("[#]Feature_Schema_1!A4516:F4516","BARN_P")</f>
        <v>BARN_P</v>
      </c>
      <c r="D22" t="s">
        <v>6370</v>
      </c>
      <c r="E22" t="s">
        <v>293</v>
      </c>
      <c r="F22">
        <v>0</v>
      </c>
      <c r="G22" t="s">
        <v>294</v>
      </c>
      <c r="H22" t="s">
        <v>295</v>
      </c>
      <c r="I22" t="s">
        <v>296</v>
      </c>
    </row>
    <row r="23" spans="1:9" x14ac:dyDescent="0.55000000000000004">
      <c r="A23" t="s">
        <v>6988</v>
      </c>
      <c r="B23" t="s">
        <v>6776</v>
      </c>
      <c r="C23" s="7" t="str">
        <f>HYPERLINK("[#]Feature_Schema_1!A4974:F4974","BASIN_GATE_P")</f>
        <v>BASIN_GATE_P</v>
      </c>
      <c r="D23" t="s">
        <v>6371</v>
      </c>
      <c r="E23" t="s">
        <v>2746</v>
      </c>
      <c r="F23">
        <v>0</v>
      </c>
      <c r="G23" t="s">
        <v>2747</v>
      </c>
      <c r="H23" t="s">
        <v>2748</v>
      </c>
      <c r="I23" t="s">
        <v>2749</v>
      </c>
    </row>
    <row r="24" spans="1:9" x14ac:dyDescent="0.55000000000000004">
      <c r="A24" t="s">
        <v>6988</v>
      </c>
      <c r="B24" t="s">
        <v>6759</v>
      </c>
      <c r="C24" s="7" t="str">
        <f>HYPERLINK("[#]Feature_Schema_1!A5116:F5116","BEACH_LANDING_SITE_S")</f>
        <v>BEACH_LANDING_SITE_S</v>
      </c>
      <c r="D24" t="s">
        <v>6372</v>
      </c>
      <c r="E24" t="s">
        <v>2046</v>
      </c>
      <c r="F24">
        <v>0</v>
      </c>
      <c r="G24" t="s">
        <v>2047</v>
      </c>
      <c r="H24" t="s">
        <v>2048</v>
      </c>
      <c r="I24" t="s">
        <v>2049</v>
      </c>
    </row>
    <row r="25" spans="1:9" x14ac:dyDescent="0.55000000000000004">
      <c r="A25" t="s">
        <v>6988</v>
      </c>
      <c r="B25" t="s">
        <v>6777</v>
      </c>
      <c r="C25" s="7" t="str">
        <f>HYPERLINK("[#]Feature_Schema_1!A5164:F5164","BEACH_PROFILE_C")</f>
        <v>BEACH_PROFILE_C</v>
      </c>
      <c r="D25" t="s">
        <v>6373</v>
      </c>
      <c r="E25" t="s">
        <v>2445</v>
      </c>
      <c r="F25">
        <v>0</v>
      </c>
      <c r="G25" t="s">
        <v>2446</v>
      </c>
      <c r="H25" t="s">
        <v>2447</v>
      </c>
      <c r="I25" t="s">
        <v>2448</v>
      </c>
    </row>
    <row r="26" spans="1:9" x14ac:dyDescent="0.55000000000000004">
      <c r="A26" t="s">
        <v>6988</v>
      </c>
      <c r="B26" t="s">
        <v>6779</v>
      </c>
      <c r="C26" s="7" t="str">
        <f>HYPERLINK("[#]Feature_Schema_1!A5517:F5517","BENCHMARK_P")</f>
        <v>BENCHMARK_P</v>
      </c>
      <c r="D26" t="s">
        <v>6375</v>
      </c>
      <c r="E26" t="s">
        <v>6002</v>
      </c>
      <c r="F26">
        <v>0</v>
      </c>
      <c r="G26" t="s">
        <v>6003</v>
      </c>
      <c r="H26" t="s">
        <v>6004</v>
      </c>
      <c r="I26" t="s">
        <v>6005</v>
      </c>
    </row>
    <row r="27" spans="1:9" x14ac:dyDescent="0.55000000000000004">
      <c r="A27" t="s">
        <v>6988</v>
      </c>
      <c r="B27" t="s">
        <v>6771</v>
      </c>
      <c r="C27" s="7" t="str">
        <f>HYPERLINK("[#]Feature_Schema_1!A5614:F5614","BILLBOARD_P")</f>
        <v>BILLBOARD_P</v>
      </c>
      <c r="D27" t="s">
        <v>6377</v>
      </c>
      <c r="E27" t="s">
        <v>221</v>
      </c>
      <c r="F27">
        <v>0</v>
      </c>
      <c r="G27" t="s">
        <v>222</v>
      </c>
      <c r="H27" t="s">
        <v>223</v>
      </c>
      <c r="I27" t="s">
        <v>224</v>
      </c>
    </row>
    <row r="28" spans="1:9" x14ac:dyDescent="0.55000000000000004">
      <c r="A28" t="s">
        <v>6988</v>
      </c>
      <c r="B28" t="s">
        <v>6780</v>
      </c>
      <c r="C28" s="7" t="str">
        <f>HYPERLINK("[#]Feature_Schema_1!A5761:F5761","BLAST_FURNACE_P")</f>
        <v>BLAST_FURNACE_P</v>
      </c>
      <c r="D28" t="s">
        <v>6378</v>
      </c>
      <c r="E28" t="s">
        <v>76</v>
      </c>
      <c r="F28">
        <v>0</v>
      </c>
      <c r="G28" t="s">
        <v>77</v>
      </c>
      <c r="H28" t="s">
        <v>78</v>
      </c>
      <c r="I28" t="s">
        <v>79</v>
      </c>
    </row>
    <row r="29" spans="1:9" x14ac:dyDescent="0.55000000000000004">
      <c r="A29" t="s">
        <v>6988</v>
      </c>
      <c r="B29" t="s">
        <v>6781</v>
      </c>
      <c r="C29" s="7" t="str">
        <f>HYPERLINK("[#]Feature_Schema_1!A5899:F5899","BOG_S")</f>
        <v>BOG_S</v>
      </c>
      <c r="D29" t="s">
        <v>6379</v>
      </c>
      <c r="E29" t="s">
        <v>2504</v>
      </c>
      <c r="F29">
        <v>0</v>
      </c>
      <c r="G29" t="s">
        <v>2505</v>
      </c>
      <c r="H29" t="s">
        <v>2506</v>
      </c>
      <c r="I29" t="s">
        <v>2507</v>
      </c>
    </row>
    <row r="30" spans="1:9" x14ac:dyDescent="0.55000000000000004">
      <c r="A30" t="s">
        <v>6988</v>
      </c>
      <c r="B30" t="s">
        <v>6769</v>
      </c>
      <c r="C30" s="7" t="str">
        <f>HYPERLINK("[#]Feature_Schema_1!A6110:F6110","BOTANIC_GARDEN_S")</f>
        <v>BOTANIC_GARDEN_S</v>
      </c>
      <c r="D30" t="s">
        <v>6381</v>
      </c>
      <c r="E30" t="s">
        <v>3039</v>
      </c>
      <c r="F30">
        <v>0</v>
      </c>
      <c r="G30" t="s">
        <v>3040</v>
      </c>
      <c r="H30" t="s">
        <v>3041</v>
      </c>
      <c r="I30" t="s">
        <v>3042</v>
      </c>
    </row>
    <row r="31" spans="1:9" x14ac:dyDescent="0.55000000000000004">
      <c r="A31" t="s">
        <v>6988</v>
      </c>
      <c r="B31" t="s">
        <v>6760</v>
      </c>
      <c r="C31" s="7" t="str">
        <f>HYPERLINK("[#]Feature_Schema_1!A6157:F6157","BOTTOM_CHARACTER_REGION_P")</f>
        <v>BOTTOM_CHARACTER_REGION_P</v>
      </c>
      <c r="D31" t="s">
        <v>6382</v>
      </c>
      <c r="E31" t="s">
        <v>2450</v>
      </c>
      <c r="F31">
        <v>0</v>
      </c>
      <c r="G31" t="s">
        <v>2451</v>
      </c>
      <c r="H31" t="s">
        <v>2452</v>
      </c>
      <c r="I31" t="s">
        <v>2453</v>
      </c>
    </row>
    <row r="32" spans="1:9" x14ac:dyDescent="0.55000000000000004">
      <c r="A32" t="s">
        <v>6988</v>
      </c>
      <c r="B32" t="s">
        <v>6782</v>
      </c>
      <c r="C32" s="7" t="str">
        <f>HYPERLINK("[#]Feature_Schema_1!A6765:F6765","BOUNDARY_MONUMENT_P")</f>
        <v>BOUNDARY_MONUMENT_P</v>
      </c>
      <c r="D32" t="s">
        <v>6383</v>
      </c>
      <c r="E32" t="s">
        <v>6006</v>
      </c>
      <c r="F32">
        <v>0</v>
      </c>
      <c r="G32" t="s">
        <v>6007</v>
      </c>
      <c r="H32" t="s">
        <v>6008</v>
      </c>
      <c r="I32" t="s">
        <v>6009</v>
      </c>
    </row>
    <row r="33" spans="1:9" x14ac:dyDescent="0.55000000000000004">
      <c r="A33" t="s">
        <v>6988</v>
      </c>
      <c r="B33" t="s">
        <v>6766</v>
      </c>
      <c r="C33" s="7" t="str">
        <f>HYPERLINK("[#]Feature_Schema_1!A6845:F6845","BRIDGE_C")</f>
        <v>BRIDGE_C</v>
      </c>
      <c r="D33" t="s">
        <v>1530</v>
      </c>
      <c r="E33" t="s">
        <v>1532</v>
      </c>
      <c r="F33">
        <v>0</v>
      </c>
      <c r="G33" t="s">
        <v>1533</v>
      </c>
      <c r="H33" t="s">
        <v>1534</v>
      </c>
      <c r="I33" t="s">
        <v>1531</v>
      </c>
    </row>
    <row r="34" spans="1:9" x14ac:dyDescent="0.55000000000000004">
      <c r="A34" t="s">
        <v>6988</v>
      </c>
      <c r="B34" t="s">
        <v>6783</v>
      </c>
      <c r="C34" s="7" t="str">
        <f>HYPERLINK("[#]Feature_Schema_1!A7093:F7093","BRIDGE_P")</f>
        <v>BRIDGE_P</v>
      </c>
      <c r="D34" t="s">
        <v>1530</v>
      </c>
      <c r="E34" t="s">
        <v>1532</v>
      </c>
      <c r="F34">
        <v>0</v>
      </c>
      <c r="G34" t="s">
        <v>1533</v>
      </c>
      <c r="H34" t="s">
        <v>1534</v>
      </c>
      <c r="I34" t="s">
        <v>1531</v>
      </c>
    </row>
    <row r="35" spans="1:9" x14ac:dyDescent="0.55000000000000004">
      <c r="A35" t="s">
        <v>6988</v>
      </c>
      <c r="B35" t="s">
        <v>6783</v>
      </c>
      <c r="C35" s="7" t="str">
        <f>HYPERLINK("[#]Feature_Schema_1!A7390:F7390","BRIDGE_PIER_P")</f>
        <v>BRIDGE_PIER_P</v>
      </c>
      <c r="D35" t="s">
        <v>6384</v>
      </c>
      <c r="E35" t="s">
        <v>1630</v>
      </c>
      <c r="F35">
        <v>0</v>
      </c>
      <c r="G35" t="s">
        <v>1631</v>
      </c>
      <c r="H35" t="s">
        <v>1632</v>
      </c>
      <c r="I35" t="s">
        <v>1633</v>
      </c>
    </row>
    <row r="36" spans="1:9" x14ac:dyDescent="0.55000000000000004">
      <c r="A36" t="s">
        <v>6988</v>
      </c>
      <c r="B36" t="s">
        <v>6783</v>
      </c>
      <c r="C36" s="7" t="str">
        <f>HYPERLINK("[#]Feature_Schema_1!A7909:F7909","BRIDGE_SPAN_P")</f>
        <v>BRIDGE_SPAN_P</v>
      </c>
      <c r="D36" t="s">
        <v>6385</v>
      </c>
      <c r="E36" t="s">
        <v>1618</v>
      </c>
      <c r="F36">
        <v>0</v>
      </c>
      <c r="G36" t="s">
        <v>1619</v>
      </c>
      <c r="H36" t="s">
        <v>1620</v>
      </c>
      <c r="I36" t="s">
        <v>1621</v>
      </c>
    </row>
    <row r="37" spans="1:9" x14ac:dyDescent="0.55000000000000004">
      <c r="A37" t="s">
        <v>6988</v>
      </c>
      <c r="B37" t="s">
        <v>6783</v>
      </c>
      <c r="C37" s="7" t="str">
        <f>HYPERLINK("[#]Feature_Schema_1!A8399:F8399","BRIDGE_TOWER_P")</f>
        <v>BRIDGE_TOWER_P</v>
      </c>
      <c r="D37" t="s">
        <v>6387</v>
      </c>
      <c r="E37" t="s">
        <v>1626</v>
      </c>
      <c r="F37">
        <v>0</v>
      </c>
      <c r="G37" t="s">
        <v>1627</v>
      </c>
      <c r="H37" t="s">
        <v>1628</v>
      </c>
      <c r="I37" t="s">
        <v>1629</v>
      </c>
    </row>
    <row r="38" spans="1:9" x14ac:dyDescent="0.55000000000000004">
      <c r="A38" t="s">
        <v>6988</v>
      </c>
      <c r="B38" t="s">
        <v>6781</v>
      </c>
      <c r="C38" s="7" t="str">
        <f>HYPERLINK("[#]Feature_Schema_1!A8459:F8459","BRUSH_S")</f>
        <v>BRUSH_S</v>
      </c>
      <c r="D38" t="s">
        <v>6388</v>
      </c>
      <c r="E38" t="s">
        <v>3087</v>
      </c>
      <c r="F38">
        <v>0</v>
      </c>
      <c r="G38" t="s">
        <v>3088</v>
      </c>
      <c r="H38" t="s">
        <v>3089</v>
      </c>
      <c r="I38" t="s">
        <v>3090</v>
      </c>
    </row>
    <row r="39" spans="1:9" x14ac:dyDescent="0.55000000000000004">
      <c r="A39" t="s">
        <v>6988</v>
      </c>
      <c r="B39" t="s">
        <v>6771</v>
      </c>
      <c r="C39" s="7" t="str">
        <f>HYPERLINK("[#]Feature_Schema_1!A8504:F8504","BUILDING_P")</f>
        <v>BUILDING_P</v>
      </c>
      <c r="D39" t="s">
        <v>6389</v>
      </c>
      <c r="E39" t="s">
        <v>475</v>
      </c>
      <c r="F39">
        <v>0</v>
      </c>
      <c r="G39" t="s">
        <v>476</v>
      </c>
      <c r="H39" t="s">
        <v>477</v>
      </c>
      <c r="I39" t="s">
        <v>478</v>
      </c>
    </row>
    <row r="40" spans="1:9" x14ac:dyDescent="0.55000000000000004">
      <c r="A40" t="s">
        <v>6988</v>
      </c>
      <c r="B40" t="s">
        <v>6771</v>
      </c>
      <c r="C40" s="7" t="str">
        <f>HYPERLINK("[#]Feature_Schema_1!A12084:F12084","BUILDING_SUPERSTRUCTURE_P")</f>
        <v>BUILDING_SUPERSTRUCTURE_P</v>
      </c>
      <c r="D40" t="s">
        <v>6390</v>
      </c>
      <c r="E40" t="s">
        <v>868</v>
      </c>
      <c r="F40">
        <v>0</v>
      </c>
      <c r="G40" t="s">
        <v>869</v>
      </c>
      <c r="H40" t="s">
        <v>870</v>
      </c>
      <c r="I40" t="s">
        <v>871</v>
      </c>
    </row>
    <row r="41" spans="1:9" x14ac:dyDescent="0.55000000000000004">
      <c r="A41" t="s">
        <v>6988</v>
      </c>
      <c r="B41" t="s">
        <v>6786</v>
      </c>
      <c r="C41" s="7" t="str">
        <f>HYPERLINK("[#]Feature_Schema_1!A12377:F12377","BUILT_UP_AREA_S")</f>
        <v>BUILT_UP_AREA_S</v>
      </c>
      <c r="D41" t="s">
        <v>6391</v>
      </c>
      <c r="E41" t="s">
        <v>875</v>
      </c>
      <c r="F41">
        <v>0</v>
      </c>
      <c r="G41" t="s">
        <v>876</v>
      </c>
      <c r="H41" t="s">
        <v>877</v>
      </c>
      <c r="I41" t="s">
        <v>878</v>
      </c>
    </row>
    <row r="42" spans="1:9" x14ac:dyDescent="0.55000000000000004">
      <c r="A42" t="s">
        <v>6988</v>
      </c>
      <c r="B42" t="s">
        <v>6787</v>
      </c>
      <c r="C42" s="7" t="str">
        <f>HYPERLINK("[#]Feature_Schema_1!A12486:F12486","BUOY_P")</f>
        <v>BUOY_P</v>
      </c>
      <c r="D42" t="s">
        <v>6392</v>
      </c>
      <c r="E42" t="s">
        <v>2147</v>
      </c>
      <c r="F42">
        <v>0</v>
      </c>
      <c r="G42" t="s">
        <v>2148</v>
      </c>
      <c r="H42" t="s">
        <v>2149</v>
      </c>
      <c r="I42" t="s">
        <v>2150</v>
      </c>
    </row>
    <row r="43" spans="1:9" x14ac:dyDescent="0.55000000000000004">
      <c r="A43" t="s">
        <v>6988</v>
      </c>
      <c r="B43" t="s">
        <v>6788</v>
      </c>
      <c r="C43" s="7" t="str">
        <f>HYPERLINK("[#]Feature_Schema_1!A12800:F12800","CABLE_C")</f>
        <v>CABLE_C</v>
      </c>
      <c r="D43" t="s">
        <v>6393</v>
      </c>
      <c r="E43" t="s">
        <v>1786</v>
      </c>
      <c r="F43">
        <v>0</v>
      </c>
      <c r="G43" t="s">
        <v>1787</v>
      </c>
      <c r="H43" t="s">
        <v>1788</v>
      </c>
      <c r="I43" t="s">
        <v>1789</v>
      </c>
    </row>
    <row r="44" spans="1:9" x14ac:dyDescent="0.55000000000000004">
      <c r="A44" t="s">
        <v>6988</v>
      </c>
      <c r="B44" t="s">
        <v>6766</v>
      </c>
      <c r="C44" s="7" t="str">
        <f>HYPERLINK("[#]Feature_Schema_1!A12956:F12956","CABLEWAY_C")</f>
        <v>CABLEWAY_C</v>
      </c>
      <c r="D44" t="s">
        <v>6394</v>
      </c>
      <c r="E44" t="s">
        <v>1818</v>
      </c>
      <c r="F44">
        <v>0</v>
      </c>
      <c r="G44" t="s">
        <v>1819</v>
      </c>
      <c r="H44" t="s">
        <v>1820</v>
      </c>
      <c r="I44" t="s">
        <v>1821</v>
      </c>
    </row>
    <row r="45" spans="1:9" x14ac:dyDescent="0.55000000000000004">
      <c r="A45" t="s">
        <v>6988</v>
      </c>
      <c r="B45" t="s">
        <v>6768</v>
      </c>
      <c r="C45" s="7" t="str">
        <f>HYPERLINK("[#]Feature_Schema_1!A13054:F13054","CAIRN_P")</f>
        <v>CAIRN_P</v>
      </c>
      <c r="D45" t="s">
        <v>6395</v>
      </c>
      <c r="E45" t="s">
        <v>887</v>
      </c>
      <c r="F45">
        <v>0</v>
      </c>
      <c r="G45" t="s">
        <v>888</v>
      </c>
      <c r="H45" t="s">
        <v>889</v>
      </c>
      <c r="I45" t="s">
        <v>890</v>
      </c>
    </row>
    <row r="46" spans="1:9" x14ac:dyDescent="0.55000000000000004">
      <c r="A46" t="s">
        <v>6988</v>
      </c>
      <c r="B46" t="s">
        <v>6753</v>
      </c>
      <c r="C46" s="7" t="str">
        <f>HYPERLINK("[#]Feature_Schema_1!A13102:F13102","CALLING_IN_POINT_P")</f>
        <v>CALLING_IN_POINT_P</v>
      </c>
      <c r="D46" t="s">
        <v>6396</v>
      </c>
      <c r="E46" t="s">
        <v>1978</v>
      </c>
      <c r="F46">
        <v>0</v>
      </c>
      <c r="G46" t="s">
        <v>1979</v>
      </c>
      <c r="H46" t="s">
        <v>1980</v>
      </c>
      <c r="I46" t="s">
        <v>1981</v>
      </c>
    </row>
    <row r="47" spans="1:9" x14ac:dyDescent="0.55000000000000004">
      <c r="A47" t="s">
        <v>6988</v>
      </c>
      <c r="B47" t="s">
        <v>6786</v>
      </c>
      <c r="C47" s="7" t="str">
        <f>HYPERLINK("[#]Feature_Schema_1!A13260:F13260","CAMP_S")</f>
        <v>CAMP_S</v>
      </c>
      <c r="D47" t="s">
        <v>6397</v>
      </c>
      <c r="E47" t="s">
        <v>253</v>
      </c>
      <c r="F47">
        <v>0</v>
      </c>
      <c r="G47" t="s">
        <v>254</v>
      </c>
      <c r="H47" t="s">
        <v>255</v>
      </c>
      <c r="I47" t="s">
        <v>256</v>
      </c>
    </row>
    <row r="48" spans="1:9" x14ac:dyDescent="0.55000000000000004">
      <c r="A48" t="s">
        <v>6988</v>
      </c>
      <c r="B48" t="s">
        <v>6751</v>
      </c>
      <c r="C48" s="7" t="str">
        <f>HYPERLINK("[#]Feature_Schema_1!A13435:F13435","CAMP_SITE_S")</f>
        <v>CAMP_SITE_S</v>
      </c>
      <c r="D48" t="s">
        <v>6398</v>
      </c>
      <c r="E48" t="s">
        <v>343</v>
      </c>
      <c r="F48">
        <v>0</v>
      </c>
      <c r="G48" t="s">
        <v>344</v>
      </c>
      <c r="H48" t="s">
        <v>345</v>
      </c>
      <c r="I48" t="s">
        <v>346</v>
      </c>
    </row>
    <row r="49" spans="1:9" x14ac:dyDescent="0.55000000000000004">
      <c r="A49" t="s">
        <v>6988</v>
      </c>
      <c r="B49" t="s">
        <v>6774</v>
      </c>
      <c r="C49" s="7" t="str">
        <f>HYPERLINK("[#]Feature_Schema_1!A13490:F13490","CANE_S")</f>
        <v>CANE_S</v>
      </c>
      <c r="D49" t="s">
        <v>6399</v>
      </c>
      <c r="E49" t="s">
        <v>3223</v>
      </c>
      <c r="F49">
        <v>0</v>
      </c>
      <c r="G49" t="s">
        <v>3224</v>
      </c>
      <c r="H49" t="s">
        <v>3225</v>
      </c>
      <c r="I49" t="s">
        <v>3226</v>
      </c>
    </row>
    <row r="50" spans="1:9" x14ac:dyDescent="0.55000000000000004">
      <c r="A50" t="s">
        <v>6988</v>
      </c>
      <c r="B50" t="s">
        <v>6786</v>
      </c>
      <c r="C50" s="7" t="str">
        <f>HYPERLINK("[#]Feature_Schema_1!A13583:F13583","CARAVAN_PARK_S")</f>
        <v>CARAVAN_PARK_S</v>
      </c>
      <c r="D50" t="s">
        <v>6401</v>
      </c>
      <c r="E50" t="s">
        <v>249</v>
      </c>
      <c r="F50">
        <v>0</v>
      </c>
      <c r="G50" t="s">
        <v>250</v>
      </c>
      <c r="H50" t="s">
        <v>251</v>
      </c>
      <c r="I50" t="s">
        <v>252</v>
      </c>
    </row>
    <row r="51" spans="1:9" x14ac:dyDescent="0.55000000000000004">
      <c r="A51" t="s">
        <v>6988</v>
      </c>
      <c r="B51" t="s">
        <v>6766</v>
      </c>
      <c r="C51" s="7" t="str">
        <f>HYPERLINK("[#]Feature_Schema_1!A13692:F13692","CART_TRACK_C")</f>
        <v>CART_TRACK_C</v>
      </c>
      <c r="D51" t="s">
        <v>6402</v>
      </c>
      <c r="E51" t="s">
        <v>1379</v>
      </c>
      <c r="F51">
        <v>0</v>
      </c>
      <c r="G51" t="s">
        <v>1380</v>
      </c>
      <c r="H51" t="s">
        <v>1381</v>
      </c>
      <c r="I51" t="s">
        <v>1382</v>
      </c>
    </row>
    <row r="52" spans="1:9" x14ac:dyDescent="0.55000000000000004">
      <c r="A52" t="s">
        <v>6988</v>
      </c>
      <c r="B52" t="s">
        <v>6780</v>
      </c>
      <c r="C52" s="7" t="str">
        <f>HYPERLINK("[#]Feature_Schema_1!A14369:F14369","CATALYTIC_CRACKER_P")</f>
        <v>CATALYTIC_CRACKER_P</v>
      </c>
      <c r="D52" t="s">
        <v>6405</v>
      </c>
      <c r="E52" t="s">
        <v>80</v>
      </c>
      <c r="F52">
        <v>0</v>
      </c>
      <c r="G52" t="s">
        <v>81</v>
      </c>
      <c r="H52" t="s">
        <v>82</v>
      </c>
      <c r="I52" t="s">
        <v>83</v>
      </c>
    </row>
    <row r="53" spans="1:9" x14ac:dyDescent="0.55000000000000004">
      <c r="A53" t="s">
        <v>6988</v>
      </c>
      <c r="B53" t="s">
        <v>6766</v>
      </c>
      <c r="C53" s="7" t="str">
        <f>HYPERLINK("[#]Feature_Schema_1!A14573:F14573","CAUSEWAY_STRUCTURE_C")</f>
        <v>CAUSEWAY_STRUCTURE_C</v>
      </c>
      <c r="D53" t="s">
        <v>6406</v>
      </c>
      <c r="E53" t="s">
        <v>1646</v>
      </c>
      <c r="F53">
        <v>0</v>
      </c>
      <c r="G53" t="s">
        <v>1647</v>
      </c>
      <c r="H53" t="s">
        <v>1648</v>
      </c>
      <c r="I53" t="s">
        <v>1649</v>
      </c>
    </row>
    <row r="54" spans="1:9" x14ac:dyDescent="0.55000000000000004">
      <c r="A54" t="s">
        <v>6988</v>
      </c>
      <c r="B54" t="s">
        <v>6769</v>
      </c>
      <c r="C54" s="7" t="str">
        <f>HYPERLINK("[#]Feature_Schema_1!A15149:F15149","CEMETERY_S")</f>
        <v>CEMETERY_S</v>
      </c>
      <c r="D54" t="s">
        <v>6409</v>
      </c>
      <c r="E54" t="s">
        <v>891</v>
      </c>
      <c r="F54">
        <v>0</v>
      </c>
      <c r="G54" t="s">
        <v>892</v>
      </c>
      <c r="H54" t="s">
        <v>893</v>
      </c>
      <c r="I54" t="s">
        <v>894</v>
      </c>
    </row>
    <row r="55" spans="1:9" x14ac:dyDescent="0.55000000000000004">
      <c r="A55" t="s">
        <v>6988</v>
      </c>
      <c r="B55" t="s">
        <v>6783</v>
      </c>
      <c r="C55" s="7" t="str">
        <f>HYPERLINK("[#]Feature_Schema_1!A15235:F15235","CHECKPOINT_P")</f>
        <v>CHECKPOINT_P</v>
      </c>
      <c r="D55" t="s">
        <v>6410</v>
      </c>
      <c r="E55" t="s">
        <v>245</v>
      </c>
      <c r="F55">
        <v>0</v>
      </c>
      <c r="G55" t="s">
        <v>246</v>
      </c>
      <c r="H55" t="s">
        <v>247</v>
      </c>
      <c r="I55" t="s">
        <v>248</v>
      </c>
    </row>
    <row r="56" spans="1:9" x14ac:dyDescent="0.55000000000000004">
      <c r="A56" t="s">
        <v>6988</v>
      </c>
      <c r="B56" t="s">
        <v>6792</v>
      </c>
      <c r="C56" s="7" t="str">
        <f>HYPERLINK("[#]Feature_Schema_1!A15556:F15556","CISTERN_P")</f>
        <v>CISTERN_P</v>
      </c>
      <c r="D56" t="s">
        <v>6412</v>
      </c>
      <c r="E56" t="s">
        <v>2699</v>
      </c>
      <c r="F56">
        <v>0</v>
      </c>
      <c r="G56" t="s">
        <v>2700</v>
      </c>
      <c r="H56" t="s">
        <v>2701</v>
      </c>
      <c r="I56" t="s">
        <v>2702</v>
      </c>
    </row>
    <row r="57" spans="1:9" x14ac:dyDescent="0.55000000000000004">
      <c r="A57" t="s">
        <v>6988</v>
      </c>
      <c r="B57" t="s">
        <v>6781</v>
      </c>
      <c r="C57" s="7" t="str">
        <f>HYPERLINK("[#]Feature_Schema_1!A15811:F15811","CLEARED_WAY_S")</f>
        <v>CLEARED_WAY_S</v>
      </c>
      <c r="D57" t="s">
        <v>6413</v>
      </c>
      <c r="E57" t="s">
        <v>3328</v>
      </c>
      <c r="F57">
        <v>0</v>
      </c>
      <c r="G57" t="s">
        <v>3329</v>
      </c>
      <c r="H57" t="s">
        <v>3330</v>
      </c>
      <c r="I57" t="s">
        <v>3331</v>
      </c>
    </row>
    <row r="58" spans="1:9" x14ac:dyDescent="0.55000000000000004">
      <c r="A58" t="s">
        <v>6988</v>
      </c>
      <c r="B58" t="s">
        <v>6769</v>
      </c>
      <c r="C58" s="7" t="str">
        <f>HYPERLINK("[#]Feature_Schema_1!A15873:F15873","CONSERVATION_AREA_S")</f>
        <v>CONSERVATION_AREA_S</v>
      </c>
      <c r="D58" t="s">
        <v>6415</v>
      </c>
      <c r="E58" t="s">
        <v>3524</v>
      </c>
      <c r="F58">
        <v>0</v>
      </c>
      <c r="G58" t="s">
        <v>3525</v>
      </c>
      <c r="H58" t="s">
        <v>3526</v>
      </c>
      <c r="I58" t="s">
        <v>3527</v>
      </c>
    </row>
    <row r="59" spans="1:9" x14ac:dyDescent="0.55000000000000004">
      <c r="A59" t="s">
        <v>6988</v>
      </c>
      <c r="B59" t="s">
        <v>6769</v>
      </c>
      <c r="C59" s="7" t="str">
        <f>HYPERLINK("[#]Feature_Schema_1!A15992:F15992","CONTAMINATED_REGION_S")</f>
        <v>CONTAMINATED_REGION_S</v>
      </c>
      <c r="D59" t="s">
        <v>6416</v>
      </c>
      <c r="E59" t="s">
        <v>3445</v>
      </c>
      <c r="F59">
        <v>0</v>
      </c>
      <c r="G59" t="s">
        <v>3446</v>
      </c>
      <c r="H59" t="s">
        <v>3447</v>
      </c>
      <c r="I59" t="s">
        <v>3448</v>
      </c>
    </row>
    <row r="60" spans="1:9" x14ac:dyDescent="0.55000000000000004">
      <c r="A60" t="s">
        <v>6988</v>
      </c>
      <c r="B60" t="s">
        <v>6748</v>
      </c>
      <c r="C60" s="7" t="str">
        <f>HYPERLINK("[#]Feature_Schema_1!A16047:F16047","CONTROL_TOWER_P")</f>
        <v>CONTROL_TOWER_P</v>
      </c>
      <c r="D60" t="s">
        <v>6417</v>
      </c>
      <c r="E60" t="s">
        <v>1638</v>
      </c>
      <c r="F60">
        <v>0</v>
      </c>
      <c r="G60" t="s">
        <v>1639</v>
      </c>
      <c r="H60" t="s">
        <v>1640</v>
      </c>
      <c r="I60" t="s">
        <v>1641</v>
      </c>
    </row>
    <row r="61" spans="1:9" x14ac:dyDescent="0.55000000000000004">
      <c r="A61" t="s">
        <v>6988</v>
      </c>
      <c r="B61" t="s">
        <v>6780</v>
      </c>
      <c r="C61" s="7" t="str">
        <f>HYPERLINK("[#]Feature_Schema_1!A16637:F16637","CONVEYOR_P")</f>
        <v>CONVEYOR_P</v>
      </c>
      <c r="D61" t="s">
        <v>6418</v>
      </c>
      <c r="G61" t="s">
        <v>178</v>
      </c>
    </row>
    <row r="62" spans="1:9" x14ac:dyDescent="0.55000000000000004">
      <c r="A62" t="s">
        <v>6988</v>
      </c>
      <c r="B62" t="s">
        <v>6746</v>
      </c>
      <c r="C62" s="7" t="str">
        <f>HYPERLINK("[#]Feature_Schema_1!A16851:F16851","COOLING_FACILITY_S")</f>
        <v>COOLING_FACILITY_S</v>
      </c>
      <c r="D62" t="s">
        <v>6419</v>
      </c>
      <c r="E62" t="s">
        <v>161</v>
      </c>
      <c r="F62">
        <v>0</v>
      </c>
      <c r="G62" t="s">
        <v>162</v>
      </c>
      <c r="H62" t="s">
        <v>163</v>
      </c>
      <c r="I62" t="s">
        <v>164</v>
      </c>
    </row>
    <row r="63" spans="1:9" x14ac:dyDescent="0.55000000000000004">
      <c r="A63" t="s">
        <v>6988</v>
      </c>
      <c r="B63" t="s">
        <v>6745</v>
      </c>
      <c r="C63" s="7" t="str">
        <f>HYPERLINK("[#]Feature_Schema_1!A16939:F16939","COOLING_TOWER_P")</f>
        <v>COOLING_TOWER_P</v>
      </c>
      <c r="D63" t="s">
        <v>6420</v>
      </c>
      <c r="E63" t="s">
        <v>185</v>
      </c>
      <c r="F63">
        <v>0</v>
      </c>
      <c r="G63" t="s">
        <v>186</v>
      </c>
      <c r="H63" t="s">
        <v>187</v>
      </c>
      <c r="I63" t="s">
        <v>188</v>
      </c>
    </row>
    <row r="64" spans="1:9" x14ac:dyDescent="0.55000000000000004">
      <c r="A64" t="s">
        <v>6988</v>
      </c>
      <c r="B64" t="s">
        <v>6769</v>
      </c>
      <c r="C64" s="7" t="str">
        <f>HYPERLINK("[#]Feature_Schema_1!A17143:F17143","COURTYARD_S")</f>
        <v>COURTYARD_S</v>
      </c>
      <c r="D64" t="s">
        <v>6421</v>
      </c>
      <c r="E64" t="s">
        <v>1058</v>
      </c>
      <c r="F64">
        <v>0</v>
      </c>
      <c r="G64" t="s">
        <v>1059</v>
      </c>
      <c r="H64" t="s">
        <v>1060</v>
      </c>
      <c r="I64" t="s">
        <v>1061</v>
      </c>
    </row>
    <row r="65" spans="1:9" x14ac:dyDescent="0.55000000000000004">
      <c r="A65" t="s">
        <v>6988</v>
      </c>
      <c r="B65" t="s">
        <v>6780</v>
      </c>
      <c r="C65" s="7" t="str">
        <f>HYPERLINK("[#]Feature_Schema_1!A17229:F17229","CRANE_P")</f>
        <v>CRANE_P</v>
      </c>
      <c r="D65" t="s">
        <v>6422</v>
      </c>
      <c r="E65" t="s">
        <v>189</v>
      </c>
      <c r="F65">
        <v>0</v>
      </c>
      <c r="G65" t="s">
        <v>190</v>
      </c>
      <c r="H65" t="s">
        <v>191</v>
      </c>
      <c r="I65" t="s">
        <v>192</v>
      </c>
    </row>
    <row r="66" spans="1:9" x14ac:dyDescent="0.55000000000000004">
      <c r="A66" t="s">
        <v>6988</v>
      </c>
      <c r="B66" t="s">
        <v>6778</v>
      </c>
      <c r="C66" s="7" t="str">
        <f>HYPERLINK("[#]Feature_Schema_1!A17537:F17537","CRATER_S")</f>
        <v>CRATER_S</v>
      </c>
      <c r="D66" t="s">
        <v>6423</v>
      </c>
      <c r="E66" t="s">
        <v>2982</v>
      </c>
      <c r="F66">
        <v>0</v>
      </c>
      <c r="G66" t="s">
        <v>2983</v>
      </c>
      <c r="H66" t="s">
        <v>2984</v>
      </c>
      <c r="I66" t="s">
        <v>2985</v>
      </c>
    </row>
    <row r="67" spans="1:9" x14ac:dyDescent="0.55000000000000004">
      <c r="A67" t="s">
        <v>6988</v>
      </c>
      <c r="B67" t="s">
        <v>6796</v>
      </c>
      <c r="C67" s="7" t="str">
        <f>HYPERLINK("[#]Feature_Schema_1!A17577:F17577","CREVASSE_C")</f>
        <v>CREVASSE_C</v>
      </c>
      <c r="D67" t="s">
        <v>6424</v>
      </c>
      <c r="E67" t="s">
        <v>2774</v>
      </c>
      <c r="F67">
        <v>0</v>
      </c>
      <c r="G67" t="s">
        <v>2775</v>
      </c>
      <c r="H67" t="s">
        <v>2776</v>
      </c>
      <c r="I67" t="s">
        <v>2777</v>
      </c>
    </row>
    <row r="68" spans="1:9" x14ac:dyDescent="0.55000000000000004">
      <c r="A68" t="s">
        <v>6988</v>
      </c>
      <c r="B68" t="s">
        <v>6796</v>
      </c>
      <c r="C68" s="7" t="str">
        <f>HYPERLINK("[#]Feature_Schema_1!A17657:F17657","CREVICE_C")</f>
        <v>CREVICE_C</v>
      </c>
      <c r="D68" t="s">
        <v>6425</v>
      </c>
      <c r="E68" t="s">
        <v>2915</v>
      </c>
      <c r="F68">
        <v>0</v>
      </c>
      <c r="G68" t="s">
        <v>2912</v>
      </c>
      <c r="H68" t="s">
        <v>2916</v>
      </c>
      <c r="I68" t="s">
        <v>2917</v>
      </c>
    </row>
    <row r="69" spans="1:9" x14ac:dyDescent="0.55000000000000004">
      <c r="A69" t="s">
        <v>6988</v>
      </c>
      <c r="B69" t="s">
        <v>6760</v>
      </c>
      <c r="C69" s="7" t="str">
        <f>HYPERLINK("[#]Feature_Schema_1!A17767:F17767","CRIB_P")</f>
        <v>CRIB_P</v>
      </c>
      <c r="D69" t="s">
        <v>6426</v>
      </c>
      <c r="E69" t="s">
        <v>2255</v>
      </c>
      <c r="F69">
        <v>0</v>
      </c>
      <c r="G69" t="s">
        <v>2256</v>
      </c>
      <c r="H69" t="s">
        <v>2257</v>
      </c>
      <c r="I69" t="s">
        <v>2258</v>
      </c>
    </row>
    <row r="70" spans="1:9" x14ac:dyDescent="0.55000000000000004">
      <c r="A70" t="s">
        <v>6988</v>
      </c>
      <c r="B70" t="s">
        <v>6774</v>
      </c>
      <c r="C70" s="7" t="str">
        <f>HYPERLINK("[#]Feature_Schema_1!A18001:F18001","CROP_LAND_S")</f>
        <v>CROP_LAND_S</v>
      </c>
      <c r="D70" t="s">
        <v>6427</v>
      </c>
      <c r="E70" t="s">
        <v>3028</v>
      </c>
      <c r="F70">
        <v>0</v>
      </c>
      <c r="G70" t="s">
        <v>3027</v>
      </c>
      <c r="H70" t="s">
        <v>3029</v>
      </c>
      <c r="I70" t="s">
        <v>3030</v>
      </c>
    </row>
    <row r="71" spans="1:9" x14ac:dyDescent="0.55000000000000004">
      <c r="A71" t="s">
        <v>6988</v>
      </c>
      <c r="B71" t="s">
        <v>6783</v>
      </c>
      <c r="C71" s="7" t="str">
        <f>HYPERLINK("[#]Feature_Schema_1!A18192:F18192","CROSSING_P")</f>
        <v>CROSSING_P</v>
      </c>
      <c r="D71" t="s">
        <v>6428</v>
      </c>
      <c r="E71" t="s">
        <v>1642</v>
      </c>
      <c r="F71">
        <v>0</v>
      </c>
      <c r="G71" t="s">
        <v>1643</v>
      </c>
      <c r="H71" t="s">
        <v>1644</v>
      </c>
      <c r="I71" t="s">
        <v>1645</v>
      </c>
    </row>
    <row r="72" spans="1:9" x14ac:dyDescent="0.55000000000000004">
      <c r="A72" t="s">
        <v>6988</v>
      </c>
      <c r="B72" t="s">
        <v>6797</v>
      </c>
      <c r="C72" s="7" t="str">
        <f>HYPERLINK("[#]Feature_Schema_1!A18274:F18274","CULTURAL_CONTEXT_LOCATION_P")</f>
        <v>CULTURAL_CONTEXT_LOCATION_P</v>
      </c>
      <c r="D72" t="s">
        <v>6429</v>
      </c>
      <c r="E72" t="s">
        <v>6072</v>
      </c>
      <c r="F72">
        <v>0</v>
      </c>
      <c r="G72" t="s">
        <v>6073</v>
      </c>
      <c r="H72" t="s">
        <v>6074</v>
      </c>
      <c r="I72" t="s">
        <v>6075</v>
      </c>
    </row>
    <row r="73" spans="1:9" x14ac:dyDescent="0.55000000000000004">
      <c r="A73" t="s">
        <v>6988</v>
      </c>
      <c r="B73" t="s">
        <v>6766</v>
      </c>
      <c r="C73" s="7" t="str">
        <f>HYPERLINK("[#]Feature_Schema_1!A18398:F18398","CULVERT_C")</f>
        <v>CULVERT_C</v>
      </c>
      <c r="D73" t="s">
        <v>6430</v>
      </c>
      <c r="E73" t="s">
        <v>1654</v>
      </c>
      <c r="F73">
        <v>0</v>
      </c>
      <c r="G73" t="s">
        <v>1655</v>
      </c>
      <c r="H73" t="s">
        <v>1656</v>
      </c>
      <c r="I73" t="s">
        <v>1657</v>
      </c>
    </row>
    <row r="74" spans="1:9" x14ac:dyDescent="0.55000000000000004">
      <c r="A74" t="s">
        <v>6988</v>
      </c>
      <c r="B74" t="s">
        <v>6796</v>
      </c>
      <c r="C74" s="7" t="str">
        <f>HYPERLINK("[#]Feature_Schema_1!A18558:F18558","CUT_C")</f>
        <v>CUT_C</v>
      </c>
      <c r="D74" t="s">
        <v>6431</v>
      </c>
      <c r="E74" t="s">
        <v>2918</v>
      </c>
      <c r="F74">
        <v>0</v>
      </c>
      <c r="G74" t="s">
        <v>2919</v>
      </c>
      <c r="H74" t="s">
        <v>2920</v>
      </c>
      <c r="I74" t="s">
        <v>2921</v>
      </c>
    </row>
    <row r="75" spans="1:9" x14ac:dyDescent="0.55000000000000004">
      <c r="A75" t="s">
        <v>6988</v>
      </c>
      <c r="B75" t="s">
        <v>6796</v>
      </c>
      <c r="C75" s="7" t="str">
        <f>HYPERLINK("[#]Feature_Schema_1!A18638:F18638","CUT_LINE_C")</f>
        <v>CUT_LINE_C</v>
      </c>
      <c r="D75" t="s">
        <v>6432</v>
      </c>
      <c r="E75" t="s">
        <v>2922</v>
      </c>
      <c r="F75">
        <v>0</v>
      </c>
      <c r="G75" t="s">
        <v>2923</v>
      </c>
      <c r="H75" t="s">
        <v>2924</v>
      </c>
      <c r="I75" t="s">
        <v>2925</v>
      </c>
    </row>
    <row r="76" spans="1:9" x14ac:dyDescent="0.55000000000000004">
      <c r="A76" t="s">
        <v>6988</v>
      </c>
      <c r="B76" t="s">
        <v>6763</v>
      </c>
      <c r="C76" s="7" t="str">
        <f>HYPERLINK("[#]Feature_Schema_1!A18695:F18695","DAM_C")</f>
        <v>DAM_C</v>
      </c>
      <c r="D76" t="s">
        <v>6433</v>
      </c>
      <c r="E76" t="s">
        <v>2703</v>
      </c>
      <c r="F76">
        <v>0</v>
      </c>
      <c r="G76" t="s">
        <v>2704</v>
      </c>
      <c r="H76" t="s">
        <v>2705</v>
      </c>
      <c r="I76" t="s">
        <v>2706</v>
      </c>
    </row>
    <row r="77" spans="1:9" x14ac:dyDescent="0.55000000000000004">
      <c r="A77" t="s">
        <v>6988</v>
      </c>
      <c r="B77" t="s">
        <v>6795</v>
      </c>
      <c r="C77" s="7" t="str">
        <f>HYPERLINK("[#]Feature_Schema_1!A19481:F19481","DEPRESSION_P")</f>
        <v>DEPRESSION_P</v>
      </c>
      <c r="D77" t="s">
        <v>6436</v>
      </c>
      <c r="E77" t="s">
        <v>2930</v>
      </c>
      <c r="F77">
        <v>0</v>
      </c>
      <c r="G77" t="s">
        <v>2931</v>
      </c>
      <c r="H77" t="s">
        <v>2932</v>
      </c>
      <c r="I77" t="s">
        <v>2933</v>
      </c>
    </row>
    <row r="78" spans="1:9" x14ac:dyDescent="0.55000000000000004">
      <c r="A78" t="s">
        <v>6988</v>
      </c>
      <c r="B78" t="s">
        <v>6761</v>
      </c>
      <c r="C78" s="7" t="str">
        <f>HYPERLINK("[#]Feature_Schema_1!A19567:F19567","DEPTH_AREA_S")</f>
        <v>DEPTH_AREA_S</v>
      </c>
      <c r="D78" t="s">
        <v>6437</v>
      </c>
      <c r="E78" t="s">
        <v>2413</v>
      </c>
      <c r="F78">
        <v>0</v>
      </c>
      <c r="G78" t="s">
        <v>2414</v>
      </c>
      <c r="H78" t="s">
        <v>2415</v>
      </c>
      <c r="I78" t="s">
        <v>2416</v>
      </c>
    </row>
    <row r="79" spans="1:9" x14ac:dyDescent="0.55000000000000004">
      <c r="A79" t="s">
        <v>6988</v>
      </c>
      <c r="B79" t="s">
        <v>6801</v>
      </c>
      <c r="C79" s="7" t="str">
        <f>HYPERLINK("[#]Feature_Schema_1!A19597:F19597","DEPTH_CONTOUR_C")</f>
        <v>DEPTH_CONTOUR_C</v>
      </c>
      <c r="D79" t="s">
        <v>6438</v>
      </c>
      <c r="E79" t="s">
        <v>2409</v>
      </c>
      <c r="F79">
        <v>0</v>
      </c>
      <c r="G79" t="s">
        <v>2410</v>
      </c>
      <c r="H79" t="s">
        <v>2411</v>
      </c>
      <c r="I79" t="s">
        <v>2412</v>
      </c>
    </row>
    <row r="80" spans="1:9" x14ac:dyDescent="0.55000000000000004">
      <c r="A80" t="s">
        <v>6988</v>
      </c>
      <c r="B80" t="s">
        <v>6801</v>
      </c>
      <c r="C80" s="7" t="str">
        <f>HYPERLINK("[#]Feature_Schema_1!A19628:F19628","DEPTH_CURVE_C")</f>
        <v>DEPTH_CURVE_C</v>
      </c>
      <c r="D80" t="s">
        <v>6439</v>
      </c>
      <c r="E80" t="s">
        <v>2405</v>
      </c>
      <c r="F80">
        <v>0</v>
      </c>
      <c r="G80" t="s">
        <v>2406</v>
      </c>
      <c r="H80" t="s">
        <v>2407</v>
      </c>
      <c r="I80" t="s">
        <v>2408</v>
      </c>
    </row>
    <row r="81" spans="1:9" x14ac:dyDescent="0.55000000000000004">
      <c r="A81" t="s">
        <v>6988</v>
      </c>
      <c r="B81" t="s">
        <v>6770</v>
      </c>
      <c r="C81" s="7" t="str">
        <f>HYPERLINK("[#]Feature_Schema_1!A19817:F19817","DESERT_S")</f>
        <v>DESERT_S</v>
      </c>
      <c r="D81" t="s">
        <v>6440</v>
      </c>
      <c r="E81" t="s">
        <v>3401</v>
      </c>
      <c r="F81">
        <v>0</v>
      </c>
      <c r="G81" t="s">
        <v>3402</v>
      </c>
      <c r="H81" t="s">
        <v>3403</v>
      </c>
      <c r="I81" t="s">
        <v>3404</v>
      </c>
    </row>
    <row r="82" spans="1:9" x14ac:dyDescent="0.55000000000000004">
      <c r="A82" t="s">
        <v>6988</v>
      </c>
      <c r="B82" t="s">
        <v>6761</v>
      </c>
      <c r="C82" s="7" t="str">
        <f>HYPERLINK("[#]Feature_Schema_1!A19933:F19933","DISCOLOURED_WATER_S")</f>
        <v>DISCOLOURED_WATER_S</v>
      </c>
      <c r="D82" t="s">
        <v>6441</v>
      </c>
      <c r="E82" t="s">
        <v>2259</v>
      </c>
      <c r="F82">
        <v>0</v>
      </c>
      <c r="G82" t="s">
        <v>2260</v>
      </c>
      <c r="H82" t="s">
        <v>2261</v>
      </c>
      <c r="I82" t="s">
        <v>2262</v>
      </c>
    </row>
    <row r="83" spans="1:9" x14ac:dyDescent="0.55000000000000004">
      <c r="A83" t="s">
        <v>6988</v>
      </c>
      <c r="B83" t="s">
        <v>6745</v>
      </c>
      <c r="C83" s="7" t="str">
        <f>HYPERLINK("[#]Feature_Schema_1!A19970:F19970","DISH_AERIAL_P")</f>
        <v>DISH_AERIAL_P</v>
      </c>
      <c r="D83" t="s">
        <v>6442</v>
      </c>
      <c r="E83" t="s">
        <v>1794</v>
      </c>
      <c r="F83">
        <v>0</v>
      </c>
      <c r="G83" t="s">
        <v>1795</v>
      </c>
      <c r="H83" t="s">
        <v>1796</v>
      </c>
      <c r="I83" t="s">
        <v>1797</v>
      </c>
    </row>
    <row r="84" spans="1:9" x14ac:dyDescent="0.55000000000000004">
      <c r="A84" t="s">
        <v>6988</v>
      </c>
      <c r="B84" t="s">
        <v>6780</v>
      </c>
      <c r="C84" s="7" t="str">
        <f>HYPERLINK("[#]Feature_Schema_1!A20051:F20051","DISPOSAL_SITE_P")</f>
        <v>DISPOSAL_SITE_P</v>
      </c>
      <c r="D84" t="s">
        <v>6443</v>
      </c>
      <c r="E84" t="s">
        <v>41</v>
      </c>
      <c r="F84">
        <v>0</v>
      </c>
      <c r="G84" t="s">
        <v>42</v>
      </c>
      <c r="H84" t="s">
        <v>43</v>
      </c>
      <c r="I84" t="s">
        <v>44</v>
      </c>
    </row>
    <row r="85" spans="1:9" x14ac:dyDescent="0.55000000000000004">
      <c r="A85" t="s">
        <v>6988</v>
      </c>
      <c r="B85" t="s">
        <v>6802</v>
      </c>
      <c r="C85" s="7" t="str">
        <f>HYPERLINK("[#]Feature_Schema_1!A20215:F20215","DISTANCE_MARK_P")</f>
        <v>DISTANCE_MARK_P</v>
      </c>
      <c r="D85" t="s">
        <v>6444</v>
      </c>
      <c r="E85" t="s">
        <v>6021</v>
      </c>
      <c r="F85">
        <v>0</v>
      </c>
      <c r="G85" t="s">
        <v>5680</v>
      </c>
      <c r="H85" t="s">
        <v>6022</v>
      </c>
      <c r="I85" t="s">
        <v>6023</v>
      </c>
    </row>
    <row r="86" spans="1:9" x14ac:dyDescent="0.55000000000000004">
      <c r="A86" t="s">
        <v>6988</v>
      </c>
      <c r="B86" t="s">
        <v>6763</v>
      </c>
      <c r="C86" s="7" t="str">
        <f>HYPERLINK("[#]Feature_Schema_1!A20517:F20517","DITCH_C")</f>
        <v>DITCH_C</v>
      </c>
      <c r="D86" t="s">
        <v>6446</v>
      </c>
      <c r="E86" t="s">
        <v>2512</v>
      </c>
      <c r="F86">
        <v>0</v>
      </c>
      <c r="G86" t="s">
        <v>2513</v>
      </c>
      <c r="H86" t="s">
        <v>2514</v>
      </c>
      <c r="I86" t="s">
        <v>2515</v>
      </c>
    </row>
    <row r="87" spans="1:9" x14ac:dyDescent="0.55000000000000004">
      <c r="A87" t="s">
        <v>6988</v>
      </c>
      <c r="B87" t="s">
        <v>6753</v>
      </c>
      <c r="C87" s="7" t="str">
        <f>HYPERLINK("[#]Feature_Schema_1!A21447:F21447","DOLPHIN_P")</f>
        <v>DOLPHIN_P</v>
      </c>
      <c r="D87" t="s">
        <v>6447</v>
      </c>
      <c r="E87" t="s">
        <v>1986</v>
      </c>
      <c r="F87">
        <v>0</v>
      </c>
      <c r="G87" t="s">
        <v>1987</v>
      </c>
      <c r="H87" t="s">
        <v>1988</v>
      </c>
      <c r="I87" t="s">
        <v>1989</v>
      </c>
    </row>
    <row r="88" spans="1:9" x14ac:dyDescent="0.55000000000000004">
      <c r="A88" t="s">
        <v>6988</v>
      </c>
      <c r="B88" t="s">
        <v>6778</v>
      </c>
      <c r="C88" s="7" t="str">
        <f>HYPERLINK("[#]Feature_Schema_1!A21635:F21635","DRAINAGE_BASIN_S")</f>
        <v>DRAINAGE_BASIN_S</v>
      </c>
      <c r="D88" t="s">
        <v>6449</v>
      </c>
      <c r="E88" t="s">
        <v>4233</v>
      </c>
      <c r="F88">
        <v>0</v>
      </c>
      <c r="G88" t="s">
        <v>4234</v>
      </c>
      <c r="H88" t="s">
        <v>4235</v>
      </c>
      <c r="I88" t="s">
        <v>4236</v>
      </c>
    </row>
    <row r="89" spans="1:9" x14ac:dyDescent="0.55000000000000004">
      <c r="A89" t="s">
        <v>6988</v>
      </c>
      <c r="B89" t="s">
        <v>6761</v>
      </c>
      <c r="C89" s="7" t="str">
        <f>HYPERLINK("[#]Feature_Schema_1!A21687:F21687","DREDGED_AREA_S")</f>
        <v>DREDGED_AREA_S</v>
      </c>
      <c r="D89" t="s">
        <v>6450</v>
      </c>
      <c r="E89" t="s">
        <v>3548</v>
      </c>
      <c r="F89">
        <v>0</v>
      </c>
      <c r="G89" t="s">
        <v>3549</v>
      </c>
      <c r="H89" t="s">
        <v>3550</v>
      </c>
      <c r="I89" t="s">
        <v>3551</v>
      </c>
    </row>
    <row r="90" spans="1:9" x14ac:dyDescent="0.55000000000000004">
      <c r="A90" t="s">
        <v>6988</v>
      </c>
      <c r="B90" t="s">
        <v>6751</v>
      </c>
      <c r="C90" s="7" t="str">
        <f>HYPERLINK("[#]Feature_Schema_1!A21898:F21898","DRIVE_IN_THEATRE_S")</f>
        <v>DRIVE_IN_THEATRE_S</v>
      </c>
      <c r="D90" t="s">
        <v>6451</v>
      </c>
      <c r="E90" t="s">
        <v>351</v>
      </c>
      <c r="F90">
        <v>0</v>
      </c>
      <c r="G90" t="s">
        <v>352</v>
      </c>
      <c r="H90" t="s">
        <v>353</v>
      </c>
      <c r="I90" t="s">
        <v>354</v>
      </c>
    </row>
    <row r="91" spans="1:9" x14ac:dyDescent="0.55000000000000004">
      <c r="A91" t="s">
        <v>6988</v>
      </c>
      <c r="B91" t="s">
        <v>6803</v>
      </c>
      <c r="C91" s="7" t="str">
        <f>HYPERLINK("[#]Feature_Schema_1!A21998:F21998","DRY_DOCK_S")</f>
        <v>DRY_DOCK_S</v>
      </c>
      <c r="D91" t="s">
        <v>6452</v>
      </c>
      <c r="E91" t="s">
        <v>1998</v>
      </c>
      <c r="F91">
        <v>0</v>
      </c>
      <c r="G91" t="s">
        <v>1999</v>
      </c>
      <c r="H91" t="s">
        <v>2000</v>
      </c>
      <c r="I91" t="s">
        <v>2001</v>
      </c>
    </row>
    <row r="92" spans="1:9" x14ac:dyDescent="0.55000000000000004">
      <c r="A92" t="s">
        <v>6988</v>
      </c>
      <c r="B92" t="s">
        <v>6746</v>
      </c>
      <c r="C92" s="7" t="str">
        <f>HYPERLINK("[#]Feature_Schema_1!A22244:F22244","ELECTRIC_POWER_STATION_S")</f>
        <v>ELECTRIC_POWER_STATION_S</v>
      </c>
      <c r="D92" t="s">
        <v>108</v>
      </c>
      <c r="E92" t="s">
        <v>110</v>
      </c>
      <c r="F92">
        <v>0</v>
      </c>
      <c r="G92" t="s">
        <v>111</v>
      </c>
      <c r="H92" t="s">
        <v>112</v>
      </c>
      <c r="I92" t="s">
        <v>109</v>
      </c>
    </row>
    <row r="93" spans="1:9" x14ac:dyDescent="0.55000000000000004">
      <c r="A93" t="s">
        <v>6988</v>
      </c>
      <c r="B93" t="s">
        <v>6804</v>
      </c>
      <c r="C93" s="7" t="str">
        <f>HYPERLINK("[#]Feature_Schema_1!A22375:F22375","ELEVATION_CONTOUR_C")</f>
        <v>ELEVATION_CONTOUR_C</v>
      </c>
      <c r="D93" t="s">
        <v>6453</v>
      </c>
      <c r="E93" t="s">
        <v>2826</v>
      </c>
      <c r="F93">
        <v>0</v>
      </c>
      <c r="G93" t="s">
        <v>2827</v>
      </c>
      <c r="H93" t="s">
        <v>2828</v>
      </c>
      <c r="I93" t="s">
        <v>2829</v>
      </c>
    </row>
    <row r="94" spans="1:9" x14ac:dyDescent="0.55000000000000004">
      <c r="A94" t="s">
        <v>6988</v>
      </c>
      <c r="B94" t="s">
        <v>6796</v>
      </c>
      <c r="C94" s="7" t="str">
        <f>HYPERLINK("[#]Feature_Schema_1!A22438:F22438","EMBANKMENT_C")</f>
        <v>EMBANKMENT_C</v>
      </c>
      <c r="D94" t="s">
        <v>6454</v>
      </c>
      <c r="E94" t="s">
        <v>2934</v>
      </c>
      <c r="F94">
        <v>0</v>
      </c>
      <c r="G94" t="s">
        <v>2935</v>
      </c>
      <c r="H94" t="s">
        <v>2936</v>
      </c>
      <c r="I94" t="s">
        <v>2937</v>
      </c>
    </row>
    <row r="95" spans="1:9" x14ac:dyDescent="0.55000000000000004">
      <c r="A95" t="s">
        <v>6988</v>
      </c>
      <c r="B95" t="s">
        <v>6771</v>
      </c>
      <c r="C95" s="7" t="str">
        <f>HYPERLINK("[#]Feature_Schema_1!A22758:F22758","ENGINE_TEST_CELL_P")</f>
        <v>ENGINE_TEST_CELL_P</v>
      </c>
      <c r="D95" t="s">
        <v>6455</v>
      </c>
      <c r="E95" t="s">
        <v>201</v>
      </c>
      <c r="F95">
        <v>0</v>
      </c>
      <c r="G95" t="s">
        <v>202</v>
      </c>
      <c r="H95" t="s">
        <v>203</v>
      </c>
      <c r="I95" t="s">
        <v>204</v>
      </c>
    </row>
    <row r="96" spans="1:9" x14ac:dyDescent="0.55000000000000004">
      <c r="A96" t="s">
        <v>6988</v>
      </c>
      <c r="B96" t="s">
        <v>6796</v>
      </c>
      <c r="C96" s="7" t="str">
        <f>HYPERLINK("[#]Feature_Schema_1!A23243:F23243","ESKER_C")</f>
        <v>ESKER_C</v>
      </c>
      <c r="D96" t="s">
        <v>6459</v>
      </c>
      <c r="E96" t="s">
        <v>2938</v>
      </c>
      <c r="F96">
        <v>0</v>
      </c>
      <c r="G96" t="s">
        <v>2939</v>
      </c>
      <c r="H96" t="s">
        <v>2940</v>
      </c>
      <c r="I96" t="s">
        <v>2941</v>
      </c>
    </row>
    <row r="97" spans="1:9" x14ac:dyDescent="0.55000000000000004">
      <c r="A97" t="s">
        <v>6988</v>
      </c>
      <c r="B97" t="s">
        <v>6780</v>
      </c>
      <c r="C97" s="7" t="str">
        <f>HYPERLINK("[#]Feature_Schema_1!A23353:F23353","EXCAVATING_MACHINE_P")</f>
        <v>EXCAVATING_MACHINE_P</v>
      </c>
      <c r="D97" t="s">
        <v>6460</v>
      </c>
      <c r="E97" t="s">
        <v>197</v>
      </c>
      <c r="G97" t="s">
        <v>198</v>
      </c>
    </row>
    <row r="98" spans="1:9" x14ac:dyDescent="0.55000000000000004">
      <c r="A98" t="s">
        <v>6988</v>
      </c>
      <c r="B98" t="s">
        <v>6744</v>
      </c>
      <c r="C98" s="7" t="str">
        <f>HYPERLINK("[#]Feature_Schema_1!A23670:F23670","EXTRACTION_MINE_S")</f>
        <v>EXTRACTION_MINE_S</v>
      </c>
      <c r="D98" t="s">
        <v>6461</v>
      </c>
      <c r="E98" t="s">
        <v>5</v>
      </c>
      <c r="F98">
        <v>0</v>
      </c>
      <c r="G98" t="s">
        <v>6</v>
      </c>
      <c r="H98" t="s">
        <v>7</v>
      </c>
      <c r="I98" t="s">
        <v>8</v>
      </c>
    </row>
    <row r="99" spans="1:9" x14ac:dyDescent="0.55000000000000004">
      <c r="A99" t="s">
        <v>6988</v>
      </c>
      <c r="B99" t="s">
        <v>6807</v>
      </c>
      <c r="C99" s="7" t="str">
        <f>HYPERLINK("[#]Feature_Schema_1!A25527:F25527","FACILITY_S")</f>
        <v>FACILITY_S</v>
      </c>
      <c r="D99" t="s">
        <v>6462</v>
      </c>
      <c r="E99" t="s">
        <v>463</v>
      </c>
      <c r="F99">
        <v>0</v>
      </c>
      <c r="G99" t="s">
        <v>464</v>
      </c>
      <c r="H99" t="s">
        <v>465</v>
      </c>
      <c r="I99" t="s">
        <v>466</v>
      </c>
    </row>
    <row r="100" spans="1:9" x14ac:dyDescent="0.55000000000000004">
      <c r="A100" t="s">
        <v>6988</v>
      </c>
      <c r="B100" t="s">
        <v>6751</v>
      </c>
      <c r="C100" s="7" t="str">
        <f>HYPERLINK("[#]Feature_Schema_1!A27136:F27136","FAIRGROUND_S")</f>
        <v>FAIRGROUND_S</v>
      </c>
      <c r="D100" t="s">
        <v>6463</v>
      </c>
      <c r="E100" t="s">
        <v>359</v>
      </c>
      <c r="F100">
        <v>0</v>
      </c>
      <c r="G100" t="s">
        <v>360</v>
      </c>
      <c r="H100" t="s">
        <v>361</v>
      </c>
      <c r="I100" t="s">
        <v>362</v>
      </c>
    </row>
    <row r="101" spans="1:9" x14ac:dyDescent="0.55000000000000004">
      <c r="A101" t="s">
        <v>6988</v>
      </c>
      <c r="B101" t="s">
        <v>6784</v>
      </c>
      <c r="C101" s="7" t="str">
        <f>HYPERLINK("[#]Feature_Schema_1!A27275:F27275","FENCE_C")</f>
        <v>FENCE_C</v>
      </c>
      <c r="D101" t="s">
        <v>6464</v>
      </c>
      <c r="E101" t="s">
        <v>923</v>
      </c>
      <c r="F101">
        <v>0</v>
      </c>
      <c r="G101" t="s">
        <v>924</v>
      </c>
      <c r="H101" t="s">
        <v>925</v>
      </c>
      <c r="I101" t="s">
        <v>926</v>
      </c>
    </row>
    <row r="102" spans="1:9" x14ac:dyDescent="0.55000000000000004">
      <c r="A102" t="s">
        <v>6988</v>
      </c>
      <c r="B102" t="s">
        <v>6808</v>
      </c>
      <c r="C102" s="7" t="str">
        <f>HYPERLINK("[#]Feature_Schema_1!A27507:F27507","FERRY_CROSSING_P")</f>
        <v>FERRY_CROSSING_P</v>
      </c>
      <c r="D102" t="s">
        <v>6465</v>
      </c>
      <c r="E102" t="s">
        <v>1662</v>
      </c>
      <c r="F102">
        <v>0</v>
      </c>
      <c r="G102" t="s">
        <v>1663</v>
      </c>
      <c r="H102" t="s">
        <v>1664</v>
      </c>
      <c r="I102" t="s">
        <v>1665</v>
      </c>
    </row>
    <row r="103" spans="1:9" x14ac:dyDescent="0.55000000000000004">
      <c r="A103" t="s">
        <v>6988</v>
      </c>
      <c r="B103" t="s">
        <v>6776</v>
      </c>
      <c r="C103" s="7" t="str">
        <f>HYPERLINK("[#]Feature_Schema_1!A27630:F27630","FERRY_STATION_P")</f>
        <v>FERRY_STATION_P</v>
      </c>
      <c r="D103" t="s">
        <v>6466</v>
      </c>
      <c r="E103" t="s">
        <v>1670</v>
      </c>
      <c r="F103">
        <v>0</v>
      </c>
      <c r="G103" t="s">
        <v>1671</v>
      </c>
      <c r="H103" t="s">
        <v>1672</v>
      </c>
      <c r="I103" t="s">
        <v>1673</v>
      </c>
    </row>
    <row r="104" spans="1:9" x14ac:dyDescent="0.55000000000000004">
      <c r="A104" t="s">
        <v>6988</v>
      </c>
      <c r="B104" t="s">
        <v>6789</v>
      </c>
      <c r="C104" s="7" t="str">
        <f>HYPERLINK("[#]Feature_Schema_1!A28307:F28307","FIRING_RANGE_S")</f>
        <v>FIRING_RANGE_S</v>
      </c>
      <c r="D104" t="s">
        <v>6468</v>
      </c>
      <c r="E104" t="s">
        <v>3449</v>
      </c>
      <c r="F104">
        <v>0</v>
      </c>
      <c r="G104" t="s">
        <v>582</v>
      </c>
      <c r="H104" t="s">
        <v>3450</v>
      </c>
      <c r="I104" t="s">
        <v>3451</v>
      </c>
    </row>
    <row r="105" spans="1:9" x14ac:dyDescent="0.55000000000000004">
      <c r="A105" t="s">
        <v>6988</v>
      </c>
      <c r="B105" t="s">
        <v>6774</v>
      </c>
      <c r="C105" s="7" t="str">
        <f>HYPERLINK("[#]Feature_Schema_1!A28618:F28618","FISH_FARM_FACILITY_S")</f>
        <v>FISH_FARM_FACILITY_S</v>
      </c>
      <c r="D105" t="s">
        <v>6469</v>
      </c>
      <c r="E105" t="s">
        <v>2528</v>
      </c>
      <c r="F105">
        <v>0</v>
      </c>
      <c r="G105" t="s">
        <v>2529</v>
      </c>
      <c r="H105" t="s">
        <v>2530</v>
      </c>
      <c r="I105" t="s">
        <v>2531</v>
      </c>
    </row>
    <row r="106" spans="1:9" x14ac:dyDescent="0.55000000000000004">
      <c r="A106" t="s">
        <v>6988</v>
      </c>
      <c r="B106" t="s">
        <v>6763</v>
      </c>
      <c r="C106" s="7" t="str">
        <f>HYPERLINK("[#]Feature_Schema_1!A28804:F28804","FISH_LADDER_C")</f>
        <v>FISH_LADDER_C</v>
      </c>
      <c r="D106" t="s">
        <v>6470</v>
      </c>
      <c r="E106" t="s">
        <v>2754</v>
      </c>
      <c r="F106">
        <v>0</v>
      </c>
      <c r="G106" t="s">
        <v>2755</v>
      </c>
      <c r="H106" t="s">
        <v>2756</v>
      </c>
      <c r="I106" t="s">
        <v>2757</v>
      </c>
    </row>
    <row r="107" spans="1:9" x14ac:dyDescent="0.55000000000000004">
      <c r="A107" t="s">
        <v>6988</v>
      </c>
      <c r="B107" t="s">
        <v>6771</v>
      </c>
      <c r="C107" s="7" t="str">
        <f>HYPERLINK("[#]Feature_Schema_1!A29021:F29021","FLAGPOLE_P")</f>
        <v>FLAGPOLE_P</v>
      </c>
      <c r="D107" t="s">
        <v>6473</v>
      </c>
      <c r="E107" t="s">
        <v>927</v>
      </c>
      <c r="F107">
        <v>0</v>
      </c>
      <c r="G107" t="s">
        <v>928</v>
      </c>
      <c r="H107" t="s">
        <v>929</v>
      </c>
      <c r="I107" t="s">
        <v>930</v>
      </c>
    </row>
    <row r="108" spans="1:9" x14ac:dyDescent="0.55000000000000004">
      <c r="A108" t="s">
        <v>6988</v>
      </c>
      <c r="B108" t="s">
        <v>6780</v>
      </c>
      <c r="C108" s="7" t="str">
        <f>HYPERLINK("[#]Feature_Schema_1!A29071:F29071","FLARE_PIPE_P")</f>
        <v>FLARE_PIPE_P</v>
      </c>
      <c r="D108" t="s">
        <v>6474</v>
      </c>
      <c r="E108" t="s">
        <v>205</v>
      </c>
      <c r="F108">
        <v>0</v>
      </c>
      <c r="G108" t="s">
        <v>206</v>
      </c>
      <c r="H108" t="s">
        <v>207</v>
      </c>
      <c r="I108" t="s">
        <v>208</v>
      </c>
    </row>
    <row r="109" spans="1:9" x14ac:dyDescent="0.55000000000000004">
      <c r="A109" t="s">
        <v>6988</v>
      </c>
      <c r="B109" t="s">
        <v>6763</v>
      </c>
      <c r="C109" s="7" t="str">
        <f>HYPERLINK("[#]Feature_Schema_1!A29241:F29241","FLOOD_CONTROL_STRUCTURE_C")</f>
        <v>FLOOD_CONTROL_STRUCTURE_C</v>
      </c>
      <c r="D109" t="s">
        <v>6476</v>
      </c>
      <c r="E109" t="s">
        <v>2742</v>
      </c>
      <c r="F109">
        <v>0</v>
      </c>
      <c r="G109" t="s">
        <v>2743</v>
      </c>
      <c r="H109" t="s">
        <v>2744</v>
      </c>
      <c r="I109" t="s">
        <v>2745</v>
      </c>
    </row>
    <row r="110" spans="1:9" x14ac:dyDescent="0.55000000000000004">
      <c r="A110" t="s">
        <v>6988</v>
      </c>
      <c r="B110" t="s">
        <v>6783</v>
      </c>
      <c r="C110" s="7" t="str">
        <f>HYPERLINK("[#]Feature_Schema_1!A29703:F29703","FORD_P")</f>
        <v>FORD_P</v>
      </c>
      <c r="D110" t="s">
        <v>6477</v>
      </c>
      <c r="E110" t="s">
        <v>2540</v>
      </c>
      <c r="F110">
        <v>0</v>
      </c>
      <c r="G110" t="s">
        <v>2541</v>
      </c>
      <c r="H110" t="s">
        <v>2542</v>
      </c>
      <c r="I110" t="s">
        <v>2543</v>
      </c>
    </row>
    <row r="111" spans="1:9" x14ac:dyDescent="0.55000000000000004">
      <c r="A111" t="s">
        <v>6988</v>
      </c>
      <c r="B111" t="s">
        <v>6767</v>
      </c>
      <c r="C111" s="7" t="str">
        <f>HYPERLINK("[#]Feature_Schema_1!A29844:F29844","FORD_S")</f>
        <v>FORD_S</v>
      </c>
      <c r="D111" t="s">
        <v>6477</v>
      </c>
      <c r="E111" t="s">
        <v>2540</v>
      </c>
      <c r="F111">
        <v>0</v>
      </c>
      <c r="G111" t="s">
        <v>2541</v>
      </c>
      <c r="H111" t="s">
        <v>2542</v>
      </c>
      <c r="I111" t="s">
        <v>2543</v>
      </c>
    </row>
    <row r="112" spans="1:9" x14ac:dyDescent="0.55000000000000004">
      <c r="A112" t="s">
        <v>6988</v>
      </c>
      <c r="B112" t="s">
        <v>6778</v>
      </c>
      <c r="C112" s="7" t="str">
        <f>HYPERLINK("[#]Feature_Schema_1!A29985:F29985","FORESHORE_S")</f>
        <v>FORESHORE_S</v>
      </c>
      <c r="D112" t="s">
        <v>6478</v>
      </c>
      <c r="E112" t="s">
        <v>1872</v>
      </c>
      <c r="F112">
        <v>0</v>
      </c>
      <c r="G112" t="s">
        <v>1861</v>
      </c>
      <c r="H112" t="s">
        <v>1873</v>
      </c>
      <c r="I112" t="s">
        <v>1874</v>
      </c>
    </row>
    <row r="113" spans="1:9" x14ac:dyDescent="0.55000000000000004">
      <c r="A113" t="s">
        <v>6988</v>
      </c>
      <c r="B113" t="s">
        <v>6781</v>
      </c>
      <c r="C113" s="7" t="str">
        <f>HYPERLINK("[#]Feature_Schema_1!A30388:F30388","FOREST_CLEARING_S")</f>
        <v>FOREST_CLEARING_S</v>
      </c>
      <c r="D113" t="s">
        <v>6480</v>
      </c>
      <c r="E113" t="s">
        <v>3335</v>
      </c>
      <c r="F113">
        <v>0</v>
      </c>
      <c r="G113" t="s">
        <v>3336</v>
      </c>
      <c r="H113" t="s">
        <v>3337</v>
      </c>
      <c r="I113" t="s">
        <v>3338</v>
      </c>
    </row>
    <row r="114" spans="1:9" x14ac:dyDescent="0.55000000000000004">
      <c r="A114" t="s">
        <v>6988</v>
      </c>
      <c r="B114" t="s">
        <v>6781</v>
      </c>
      <c r="C114" s="7" t="str">
        <f>HYPERLINK("[#]Feature_Schema_1!A30427:F30427","FOREST_S")</f>
        <v>FOREST_S</v>
      </c>
      <c r="D114" t="s">
        <v>6479</v>
      </c>
      <c r="E114" t="s">
        <v>3227</v>
      </c>
      <c r="F114">
        <v>0</v>
      </c>
      <c r="G114" t="s">
        <v>3228</v>
      </c>
      <c r="H114" t="s">
        <v>3229</v>
      </c>
      <c r="I114" t="s">
        <v>3230</v>
      </c>
    </row>
    <row r="115" spans="1:9" x14ac:dyDescent="0.55000000000000004">
      <c r="A115" t="s">
        <v>6988</v>
      </c>
      <c r="B115" t="s">
        <v>6761</v>
      </c>
      <c r="C115" s="7" t="str">
        <f>HYPERLINK("[#]Feature_Schema_1!A33832:F33832","FOUL_GROUND_S")</f>
        <v>FOUL_GROUND_S</v>
      </c>
      <c r="D115" t="s">
        <v>6482</v>
      </c>
      <c r="E115" t="s">
        <v>2267</v>
      </c>
      <c r="F115">
        <v>0</v>
      </c>
      <c r="G115" t="s">
        <v>2268</v>
      </c>
      <c r="H115" t="s">
        <v>2269</v>
      </c>
      <c r="I115" t="s">
        <v>2270</v>
      </c>
    </row>
    <row r="116" spans="1:9" x14ac:dyDescent="0.55000000000000004">
      <c r="A116" t="s">
        <v>6988</v>
      </c>
      <c r="B116" t="s">
        <v>6769</v>
      </c>
      <c r="C116" s="7" t="str">
        <f>HYPERLINK("[#]Feature_Schema_1!A34026:F34026","FOUNTAIN_S")</f>
        <v>FOUNTAIN_S</v>
      </c>
      <c r="D116" t="s">
        <v>6483</v>
      </c>
      <c r="E116" t="s">
        <v>2544</v>
      </c>
      <c r="F116">
        <v>0</v>
      </c>
      <c r="G116" t="s">
        <v>2545</v>
      </c>
      <c r="H116" t="s">
        <v>2546</v>
      </c>
      <c r="I116" t="s">
        <v>2547</v>
      </c>
    </row>
    <row r="117" spans="1:9" x14ac:dyDescent="0.55000000000000004">
      <c r="A117" t="s">
        <v>6988</v>
      </c>
      <c r="B117" t="s">
        <v>6811</v>
      </c>
      <c r="C117" s="7" t="str">
        <f>HYPERLINK("[#]Feature_Schema_1!A34301:F34301","FUEL_STORAGE_FACILITY_S")</f>
        <v>FUEL_STORAGE_FACILITY_S</v>
      </c>
      <c r="D117" t="s">
        <v>6484</v>
      </c>
      <c r="E117" t="s">
        <v>1290</v>
      </c>
      <c r="F117">
        <v>0</v>
      </c>
      <c r="G117" t="s">
        <v>1291</v>
      </c>
      <c r="H117" t="s">
        <v>1292</v>
      </c>
      <c r="I117" t="s">
        <v>1293</v>
      </c>
    </row>
    <row r="118" spans="1:9" x14ac:dyDescent="0.55000000000000004">
      <c r="A118" t="s">
        <v>6988</v>
      </c>
      <c r="B118" t="s">
        <v>6784</v>
      </c>
      <c r="C118" s="7" t="str">
        <f>HYPERLINK("[#]Feature_Schema_1!A34421:F34421","GANTRY_C")</f>
        <v>GANTRY_C</v>
      </c>
      <c r="D118" t="s">
        <v>6485</v>
      </c>
      <c r="E118" t="s">
        <v>935</v>
      </c>
      <c r="F118">
        <v>0</v>
      </c>
      <c r="G118" t="s">
        <v>936</v>
      </c>
      <c r="H118" t="s">
        <v>937</v>
      </c>
      <c r="I118" t="s">
        <v>938</v>
      </c>
    </row>
    <row r="119" spans="1:9" x14ac:dyDescent="0.55000000000000004">
      <c r="A119" t="s">
        <v>6988</v>
      </c>
      <c r="B119" t="s">
        <v>6771</v>
      </c>
      <c r="C119" s="7" t="str">
        <f>HYPERLINK("[#]Feature_Schema_1!A34540:F34540","GANTRY_P")</f>
        <v>GANTRY_P</v>
      </c>
      <c r="D119" t="s">
        <v>6485</v>
      </c>
      <c r="E119" t="s">
        <v>6485</v>
      </c>
      <c r="G119" t="s">
        <v>936</v>
      </c>
    </row>
    <row r="120" spans="1:9" x14ac:dyDescent="0.55000000000000004">
      <c r="A120" t="s">
        <v>6988</v>
      </c>
      <c r="B120" t="s">
        <v>6783</v>
      </c>
      <c r="C120" s="7" t="str">
        <f>HYPERLINK("[#]Feature_Schema_1!A34783:F34783","GATE_P")</f>
        <v>GATE_P</v>
      </c>
      <c r="D120" t="s">
        <v>6486</v>
      </c>
      <c r="E120" t="s">
        <v>1490</v>
      </c>
      <c r="F120">
        <v>0</v>
      </c>
      <c r="G120" t="s">
        <v>1491</v>
      </c>
      <c r="H120" t="s">
        <v>1492</v>
      </c>
      <c r="I120" t="s">
        <v>1493</v>
      </c>
    </row>
    <row r="121" spans="1:9" x14ac:dyDescent="0.55000000000000004">
      <c r="A121" t="s">
        <v>6988</v>
      </c>
      <c r="B121" t="s">
        <v>6792</v>
      </c>
      <c r="C121" s="7" t="str">
        <f>HYPERLINK("[#]Feature_Schema_1!A34907:F34907","GAUGING_STATION_P")</f>
        <v>GAUGING_STATION_P</v>
      </c>
      <c r="D121" t="s">
        <v>6487</v>
      </c>
      <c r="E121" t="s">
        <v>2758</v>
      </c>
      <c r="F121">
        <v>0</v>
      </c>
      <c r="G121" t="s">
        <v>2759</v>
      </c>
      <c r="H121" t="s">
        <v>2760</v>
      </c>
      <c r="I121" t="s">
        <v>2761</v>
      </c>
    </row>
    <row r="122" spans="1:9" x14ac:dyDescent="0.55000000000000004">
      <c r="A122" t="s">
        <v>6988</v>
      </c>
      <c r="B122" t="s">
        <v>6779</v>
      </c>
      <c r="C122" s="7" t="str">
        <f>HYPERLINK("[#]Feature_Schema_1!A35013:F35013","GEODETIC_POINT_P")</f>
        <v>GEODETIC_POINT_P</v>
      </c>
      <c r="D122" t="s">
        <v>6488</v>
      </c>
      <c r="E122" t="s">
        <v>6028</v>
      </c>
      <c r="F122">
        <v>0</v>
      </c>
      <c r="G122" t="s">
        <v>6029</v>
      </c>
      <c r="H122" t="s">
        <v>6030</v>
      </c>
      <c r="I122" t="s">
        <v>6031</v>
      </c>
    </row>
    <row r="123" spans="1:9" x14ac:dyDescent="0.55000000000000004">
      <c r="A123" t="s">
        <v>6988</v>
      </c>
      <c r="B123" t="s">
        <v>6796</v>
      </c>
      <c r="C123" s="7" t="str">
        <f>HYPERLINK("[#]Feature_Schema_1!A35054:F35054","GEOLOGIC_FAULT_C")</f>
        <v>GEOLOGIC_FAULT_C</v>
      </c>
      <c r="D123" t="s">
        <v>6489</v>
      </c>
      <c r="E123" t="s">
        <v>2942</v>
      </c>
      <c r="F123">
        <v>0</v>
      </c>
      <c r="G123" t="s">
        <v>2943</v>
      </c>
      <c r="H123" t="s">
        <v>2944</v>
      </c>
      <c r="I123" t="s">
        <v>2945</v>
      </c>
    </row>
    <row r="124" spans="1:9" x14ac:dyDescent="0.55000000000000004">
      <c r="A124" t="s">
        <v>6988</v>
      </c>
      <c r="B124" t="s">
        <v>6743</v>
      </c>
      <c r="C124" s="7" t="str">
        <f>HYPERLINK("[#]Feature_Schema_1!A35111:F35111","GEOPOLITICAL_ENTITY_S")</f>
        <v>GEOPOLITICAL_ENTITY_S</v>
      </c>
      <c r="D124" t="s">
        <v>6490</v>
      </c>
      <c r="E124" t="s">
        <v>3425</v>
      </c>
      <c r="F124">
        <v>0</v>
      </c>
      <c r="G124" t="s">
        <v>3426</v>
      </c>
      <c r="H124" t="s">
        <v>3427</v>
      </c>
      <c r="I124" t="s">
        <v>3428</v>
      </c>
    </row>
    <row r="125" spans="1:9" x14ac:dyDescent="0.55000000000000004">
      <c r="A125" t="s">
        <v>6988</v>
      </c>
      <c r="B125" t="s">
        <v>6751</v>
      </c>
      <c r="C125" s="7" t="str">
        <f>HYPERLINK("[#]Feature_Schema_1!A35526:F35526","GOLF_COURSE_S")</f>
        <v>GOLF_COURSE_S</v>
      </c>
      <c r="D125" t="s">
        <v>6493</v>
      </c>
      <c r="E125" t="s">
        <v>367</v>
      </c>
      <c r="F125">
        <v>0</v>
      </c>
      <c r="G125" t="s">
        <v>368</v>
      </c>
      <c r="H125" t="s">
        <v>369</v>
      </c>
      <c r="I125" t="s">
        <v>370</v>
      </c>
    </row>
    <row r="126" spans="1:9" x14ac:dyDescent="0.55000000000000004">
      <c r="A126" t="s">
        <v>6988</v>
      </c>
      <c r="B126" t="s">
        <v>6751</v>
      </c>
      <c r="C126" s="7" t="str">
        <f>HYPERLINK("[#]Feature_Schema_1!A35591:F35591","GOLF_DRIVING_RANGE_S")</f>
        <v>GOLF_DRIVING_RANGE_S</v>
      </c>
      <c r="D126" t="s">
        <v>6494</v>
      </c>
      <c r="E126" t="s">
        <v>371</v>
      </c>
      <c r="F126">
        <v>0</v>
      </c>
      <c r="G126" t="s">
        <v>372</v>
      </c>
      <c r="H126" t="s">
        <v>373</v>
      </c>
      <c r="I126" t="s">
        <v>374</v>
      </c>
    </row>
    <row r="127" spans="1:9" x14ac:dyDescent="0.55000000000000004">
      <c r="A127" t="s">
        <v>6988</v>
      </c>
      <c r="B127" t="s">
        <v>6810</v>
      </c>
      <c r="C127" s="7" t="str">
        <f>HYPERLINK("[#]Feature_Schema_1!A35647:F35647","GRAIN_ELEVATOR_P")</f>
        <v>GRAIN_ELEVATOR_P</v>
      </c>
      <c r="D127" t="s">
        <v>6495</v>
      </c>
      <c r="E127" t="s">
        <v>1198</v>
      </c>
      <c r="F127">
        <v>0</v>
      </c>
      <c r="G127" t="s">
        <v>1199</v>
      </c>
      <c r="H127" t="s">
        <v>1200</v>
      </c>
      <c r="I127" t="s">
        <v>1201</v>
      </c>
    </row>
    <row r="128" spans="1:9" x14ac:dyDescent="0.55000000000000004">
      <c r="A128" t="s">
        <v>6988</v>
      </c>
      <c r="B128" t="s">
        <v>6773</v>
      </c>
      <c r="C128" s="7" t="str">
        <f>HYPERLINK("[#]Feature_Schema_1!A35913:F35913","GRAIN_STORAGE_STRUCTURE_P")</f>
        <v>GRAIN_STORAGE_STRUCTURE_P</v>
      </c>
      <c r="D128" t="s">
        <v>6496</v>
      </c>
      <c r="E128" t="s">
        <v>1194</v>
      </c>
      <c r="F128">
        <v>0</v>
      </c>
      <c r="G128" t="s">
        <v>1195</v>
      </c>
      <c r="H128" t="s">
        <v>1196</v>
      </c>
      <c r="I128" t="s">
        <v>1197</v>
      </c>
    </row>
    <row r="129" spans="1:9" x14ac:dyDescent="0.55000000000000004">
      <c r="A129" t="s">
        <v>6988</v>
      </c>
      <c r="B129" t="s">
        <v>6750</v>
      </c>
      <c r="C129" s="7" t="str">
        <f>HYPERLINK("[#]Feature_Schema_1!A36181:F36181","GRANDSTAND_P")</f>
        <v>GRANDSTAND_P</v>
      </c>
      <c r="D129" t="s">
        <v>6497</v>
      </c>
      <c r="E129" t="s">
        <v>375</v>
      </c>
      <c r="F129">
        <v>0</v>
      </c>
      <c r="G129" t="s">
        <v>376</v>
      </c>
      <c r="H129" t="s">
        <v>377</v>
      </c>
      <c r="I129" t="s">
        <v>378</v>
      </c>
    </row>
    <row r="130" spans="1:9" x14ac:dyDescent="0.55000000000000004">
      <c r="A130" t="s">
        <v>6988</v>
      </c>
      <c r="B130" t="s">
        <v>6781</v>
      </c>
      <c r="C130" s="7" t="str">
        <f>HYPERLINK("[#]Feature_Schema_1!A36319:F36319","GRASSLAND_S")</f>
        <v>GRASSLAND_S</v>
      </c>
      <c r="D130" t="s">
        <v>6498</v>
      </c>
      <c r="E130" t="s">
        <v>3059</v>
      </c>
      <c r="F130">
        <v>0</v>
      </c>
      <c r="G130" t="s">
        <v>3060</v>
      </c>
      <c r="H130" t="s">
        <v>3061</v>
      </c>
      <c r="I130" t="s">
        <v>3062</v>
      </c>
    </row>
    <row r="131" spans="1:9" x14ac:dyDescent="0.55000000000000004">
      <c r="A131" t="s">
        <v>6988</v>
      </c>
      <c r="B131" t="s">
        <v>6773</v>
      </c>
      <c r="C131" s="7" t="str">
        <f>HYPERLINK("[#]Feature_Schema_1!A36382:F36382","GREENHOUSE_P")</f>
        <v>GREENHOUSE_P</v>
      </c>
      <c r="D131" t="s">
        <v>6499</v>
      </c>
      <c r="E131" t="s">
        <v>305</v>
      </c>
      <c r="F131">
        <v>0</v>
      </c>
      <c r="G131" t="s">
        <v>306</v>
      </c>
      <c r="H131" t="s">
        <v>307</v>
      </c>
      <c r="I131" t="s">
        <v>308</v>
      </c>
    </row>
    <row r="132" spans="1:9" x14ac:dyDescent="0.55000000000000004">
      <c r="A132" t="s">
        <v>6988</v>
      </c>
      <c r="B132" t="s">
        <v>6813</v>
      </c>
      <c r="C132" s="7" t="str">
        <f>HYPERLINK("[#]Feature_Schema_1!A36748:F36748","GROVE_S")</f>
        <v>GROVE_S</v>
      </c>
      <c r="D132" t="s">
        <v>6500</v>
      </c>
      <c r="E132" t="s">
        <v>3332</v>
      </c>
      <c r="F132">
        <v>0</v>
      </c>
      <c r="G132" t="s">
        <v>3119</v>
      </c>
      <c r="H132" t="s">
        <v>3333</v>
      </c>
      <c r="I132" t="s">
        <v>3334</v>
      </c>
    </row>
    <row r="133" spans="1:9" x14ac:dyDescent="0.55000000000000004">
      <c r="A133" t="s">
        <v>6988</v>
      </c>
      <c r="B133" t="s">
        <v>6803</v>
      </c>
      <c r="C133" s="7" t="str">
        <f>HYPERLINK("[#]Feature_Schema_1!A36850:F36850","HARBOUR_S")</f>
        <v>HARBOUR_S</v>
      </c>
      <c r="D133" t="s">
        <v>6501</v>
      </c>
      <c r="E133" t="s">
        <v>1907</v>
      </c>
      <c r="F133">
        <v>0</v>
      </c>
      <c r="G133" t="s">
        <v>1906</v>
      </c>
      <c r="H133" t="s">
        <v>1908</v>
      </c>
      <c r="I133" t="s">
        <v>1909</v>
      </c>
    </row>
    <row r="134" spans="1:9" x14ac:dyDescent="0.55000000000000004">
      <c r="A134" t="s">
        <v>6988</v>
      </c>
      <c r="B134" t="s">
        <v>6761</v>
      </c>
      <c r="C134" s="7" t="str">
        <f>HYPERLINK("[#]Feature_Schema_1!A36963:F36963","HARBOUR_WATERS_S")</f>
        <v>HARBOUR_WATERS_S</v>
      </c>
      <c r="D134" t="s">
        <v>6502</v>
      </c>
      <c r="E134" t="s">
        <v>1918</v>
      </c>
      <c r="F134">
        <v>0</v>
      </c>
      <c r="G134" t="s">
        <v>1919</v>
      </c>
      <c r="H134" t="s">
        <v>1920</v>
      </c>
      <c r="I134" t="s">
        <v>1921</v>
      </c>
    </row>
    <row r="135" spans="1:9" x14ac:dyDescent="0.55000000000000004">
      <c r="A135" t="s">
        <v>6988</v>
      </c>
      <c r="B135" t="s">
        <v>6748</v>
      </c>
      <c r="C135" s="7" t="str">
        <f>HYPERLINK("[#]Feature_Schema_1!A37036:F37036","HARDENED_AIRCRAFT_SHELTER_P")</f>
        <v>HARDENED_AIRCRAFT_SHELTER_P</v>
      </c>
      <c r="D135" t="s">
        <v>6503</v>
      </c>
      <c r="E135" t="s">
        <v>3854</v>
      </c>
      <c r="F135">
        <v>0</v>
      </c>
      <c r="G135" t="s">
        <v>3855</v>
      </c>
      <c r="H135" t="s">
        <v>3856</v>
      </c>
      <c r="I135" t="s">
        <v>3857</v>
      </c>
    </row>
    <row r="136" spans="1:9" x14ac:dyDescent="0.55000000000000004">
      <c r="A136" t="s">
        <v>6988</v>
      </c>
      <c r="B136" t="s">
        <v>6760</v>
      </c>
      <c r="C136" s="7" t="str">
        <f>HYPERLINK("[#]Feature_Schema_1!A37366:F37366","HAZARDOUS_ROCK_P")</f>
        <v>HAZARDOUS_ROCK_P</v>
      </c>
      <c r="D136" t="s">
        <v>6504</v>
      </c>
      <c r="E136" t="s">
        <v>2385</v>
      </c>
      <c r="F136">
        <v>0</v>
      </c>
      <c r="G136" t="s">
        <v>2386</v>
      </c>
      <c r="H136" t="s">
        <v>2387</v>
      </c>
      <c r="I136" t="s">
        <v>2388</v>
      </c>
    </row>
    <row r="137" spans="1:9" x14ac:dyDescent="0.55000000000000004">
      <c r="A137" t="s">
        <v>6988</v>
      </c>
      <c r="B137" t="s">
        <v>6793</v>
      </c>
      <c r="C137" s="7" t="str">
        <f>HYPERLINK("[#]Feature_Schema_1!A37740:F37740","HEDGEROW_C")</f>
        <v>HEDGEROW_C</v>
      </c>
      <c r="D137" t="s">
        <v>6506</v>
      </c>
      <c r="E137" t="s">
        <v>3031</v>
      </c>
      <c r="F137">
        <v>0</v>
      </c>
      <c r="G137" t="s">
        <v>3032</v>
      </c>
      <c r="H137" t="s">
        <v>3033</v>
      </c>
      <c r="I137" t="s">
        <v>3034</v>
      </c>
    </row>
    <row r="138" spans="1:9" x14ac:dyDescent="0.55000000000000004">
      <c r="A138" t="s">
        <v>6988</v>
      </c>
      <c r="B138" t="s">
        <v>6749</v>
      </c>
      <c r="C138" s="7" t="str">
        <f>HYPERLINK("[#]Feature_Schema_1!A37979:F37979","HELIPAD_S")</f>
        <v>HELIPAD_S</v>
      </c>
      <c r="D138" t="s">
        <v>6507</v>
      </c>
      <c r="E138" t="s">
        <v>3762</v>
      </c>
      <c r="F138">
        <v>0</v>
      </c>
      <c r="G138" t="s">
        <v>3763</v>
      </c>
      <c r="H138" t="s">
        <v>3764</v>
      </c>
      <c r="I138" t="s">
        <v>3765</v>
      </c>
    </row>
    <row r="139" spans="1:9" x14ac:dyDescent="0.55000000000000004">
      <c r="A139" t="s">
        <v>6988</v>
      </c>
      <c r="B139" t="s">
        <v>6749</v>
      </c>
      <c r="C139" s="7" t="str">
        <f>HYPERLINK("[#]Feature_Schema_1!A38264:F38264","HELIPORT_S")</f>
        <v>HELIPORT_S</v>
      </c>
      <c r="D139" t="s">
        <v>6508</v>
      </c>
      <c r="E139" t="s">
        <v>3766</v>
      </c>
      <c r="F139">
        <v>0</v>
      </c>
      <c r="G139" t="s">
        <v>3767</v>
      </c>
      <c r="H139" t="s">
        <v>3768</v>
      </c>
      <c r="I139" t="s">
        <v>3769</v>
      </c>
    </row>
    <row r="140" spans="1:9" x14ac:dyDescent="0.55000000000000004">
      <c r="A140" t="s">
        <v>6988</v>
      </c>
      <c r="B140" t="s">
        <v>6774</v>
      </c>
      <c r="C140" s="7" t="str">
        <f>HYPERLINK("[#]Feature_Schema_1!A38406:F38406","HOLDING_PEN_S")</f>
        <v>HOLDING_PEN_S</v>
      </c>
      <c r="D140" t="s">
        <v>6509</v>
      </c>
      <c r="E140" t="s">
        <v>265</v>
      </c>
      <c r="F140">
        <v>0</v>
      </c>
      <c r="G140" t="s">
        <v>266</v>
      </c>
      <c r="H140" t="s">
        <v>267</v>
      </c>
      <c r="I140" t="s">
        <v>268</v>
      </c>
    </row>
    <row r="141" spans="1:9" x14ac:dyDescent="0.55000000000000004">
      <c r="A141" t="s">
        <v>6988</v>
      </c>
      <c r="B141" t="s">
        <v>6774</v>
      </c>
      <c r="C141" s="7" t="str">
        <f>HYPERLINK("[#]Feature_Schema_1!A38464:F38464","HOP_FIELD_S")</f>
        <v>HOP_FIELD_S</v>
      </c>
      <c r="D141" t="s">
        <v>6510</v>
      </c>
      <c r="E141" t="s">
        <v>3051</v>
      </c>
      <c r="F141">
        <v>0</v>
      </c>
      <c r="G141" t="s">
        <v>3052</v>
      </c>
      <c r="H141" t="s">
        <v>3053</v>
      </c>
      <c r="I141" t="s">
        <v>3054</v>
      </c>
    </row>
    <row r="142" spans="1:9" x14ac:dyDescent="0.55000000000000004">
      <c r="A142" t="s">
        <v>6988</v>
      </c>
      <c r="B142" t="s">
        <v>6780</v>
      </c>
      <c r="C142" s="7" t="str">
        <f>HYPERLINK("[#]Feature_Schema_1!A38548:F38548","HOPPER_P")</f>
        <v>HOPPER_P</v>
      </c>
      <c r="D142" t="s">
        <v>6511</v>
      </c>
      <c r="E142" t="s">
        <v>209</v>
      </c>
      <c r="F142">
        <v>0</v>
      </c>
      <c r="G142" t="s">
        <v>210</v>
      </c>
      <c r="H142" t="s">
        <v>211</v>
      </c>
      <c r="I142" t="s">
        <v>212</v>
      </c>
    </row>
    <row r="143" spans="1:9" x14ac:dyDescent="0.55000000000000004">
      <c r="A143" t="s">
        <v>6988</v>
      </c>
      <c r="B143" t="s">
        <v>6792</v>
      </c>
      <c r="C143" s="7" t="str">
        <f>HYPERLINK("[#]Feature_Schema_1!A38617:F38617","HULK_P")</f>
        <v>HULK_P</v>
      </c>
      <c r="D143" t="s">
        <v>6512</v>
      </c>
      <c r="E143" t="s">
        <v>2397</v>
      </c>
      <c r="F143">
        <v>0</v>
      </c>
      <c r="G143" t="s">
        <v>2398</v>
      </c>
      <c r="H143" t="s">
        <v>2399</v>
      </c>
      <c r="I143" t="s">
        <v>2400</v>
      </c>
    </row>
    <row r="144" spans="1:9" x14ac:dyDescent="0.55000000000000004">
      <c r="A144" t="s">
        <v>6988</v>
      </c>
      <c r="B144" t="s">
        <v>6781</v>
      </c>
      <c r="C144" s="7" t="str">
        <f>HYPERLINK("[#]Feature_Schema_1!A38684:F38684","HUMMOCK_S")</f>
        <v>HUMMOCK_S</v>
      </c>
      <c r="D144" t="s">
        <v>6513</v>
      </c>
      <c r="E144" t="s">
        <v>2548</v>
      </c>
      <c r="F144">
        <v>0</v>
      </c>
      <c r="G144" t="s">
        <v>2549</v>
      </c>
      <c r="H144" t="s">
        <v>2550</v>
      </c>
      <c r="I144" t="s">
        <v>2551</v>
      </c>
    </row>
    <row r="145" spans="1:9" x14ac:dyDescent="0.55000000000000004">
      <c r="A145" t="s">
        <v>6988</v>
      </c>
      <c r="B145" t="s">
        <v>6771</v>
      </c>
      <c r="C145" s="7" t="str">
        <f>HYPERLINK("[#]Feature_Schema_1!A38718:F38718","HUT_P")</f>
        <v>HUT_P</v>
      </c>
      <c r="D145" t="s">
        <v>6514</v>
      </c>
      <c r="E145" t="s">
        <v>947</v>
      </c>
      <c r="F145">
        <v>0</v>
      </c>
      <c r="G145" t="s">
        <v>948</v>
      </c>
      <c r="H145" t="s">
        <v>949</v>
      </c>
      <c r="I145" t="s">
        <v>950</v>
      </c>
    </row>
    <row r="146" spans="1:9" x14ac:dyDescent="0.55000000000000004">
      <c r="A146" t="s">
        <v>6988</v>
      </c>
      <c r="B146" t="s">
        <v>6744</v>
      </c>
      <c r="C146" s="7" t="str">
        <f>HYPERLINK("[#]Feature_Schema_1!A39087:F39087","HYDROCARBON_PROD_FACILITY_S")</f>
        <v>HYDROCARBON_PROD_FACILITY_S</v>
      </c>
      <c r="D146" t="s">
        <v>6515</v>
      </c>
      <c r="E146" t="s">
        <v>88</v>
      </c>
      <c r="F146">
        <v>0</v>
      </c>
      <c r="G146" t="s">
        <v>89</v>
      </c>
      <c r="H146" t="s">
        <v>90</v>
      </c>
      <c r="I146" t="s">
        <v>91</v>
      </c>
    </row>
    <row r="147" spans="1:9" x14ac:dyDescent="0.55000000000000004">
      <c r="A147" t="s">
        <v>6988</v>
      </c>
      <c r="B147" t="s">
        <v>6744</v>
      </c>
      <c r="C147" s="7" t="str">
        <f>HYPERLINK("[#]Feature_Schema_1!A39278:F39278","HYDROCARBONS_FIELD_S")</f>
        <v>HYDROCARBONS_FIELD_S</v>
      </c>
      <c r="D147" t="s">
        <v>6516</v>
      </c>
      <c r="E147" t="s">
        <v>33</v>
      </c>
      <c r="F147">
        <v>0</v>
      </c>
      <c r="G147" t="s">
        <v>34</v>
      </c>
      <c r="H147" t="s">
        <v>35</v>
      </c>
      <c r="I147" t="s">
        <v>36</v>
      </c>
    </row>
    <row r="148" spans="1:9" x14ac:dyDescent="0.55000000000000004">
      <c r="A148" t="s">
        <v>6988</v>
      </c>
      <c r="B148" t="s">
        <v>6770</v>
      </c>
      <c r="C148" s="7" t="str">
        <f>HYPERLINK("[#]Feature_Schema_1!A39330:F39330","ICE_CAP_S")</f>
        <v>ICE_CAP_S</v>
      </c>
      <c r="D148" t="s">
        <v>6517</v>
      </c>
      <c r="E148" t="s">
        <v>2798</v>
      </c>
      <c r="F148">
        <v>0</v>
      </c>
      <c r="G148" t="s">
        <v>2799</v>
      </c>
      <c r="H148" t="s">
        <v>2800</v>
      </c>
      <c r="I148" t="s">
        <v>2801</v>
      </c>
    </row>
    <row r="149" spans="1:9" x14ac:dyDescent="0.55000000000000004">
      <c r="A149" t="s">
        <v>6988</v>
      </c>
      <c r="B149" t="s">
        <v>6791</v>
      </c>
      <c r="C149" s="7" t="str">
        <f>HYPERLINK("[#]Feature_Schema_1!A39422:F39422","ICE_PEAK_P")</f>
        <v>ICE_PEAK_P</v>
      </c>
      <c r="D149" t="s">
        <v>6519</v>
      </c>
      <c r="E149" t="s">
        <v>2782</v>
      </c>
      <c r="F149">
        <v>0</v>
      </c>
      <c r="G149" t="s">
        <v>2783</v>
      </c>
      <c r="H149" t="s">
        <v>2784</v>
      </c>
      <c r="I149" t="s">
        <v>2785</v>
      </c>
    </row>
    <row r="150" spans="1:9" x14ac:dyDescent="0.55000000000000004">
      <c r="A150" t="s">
        <v>6988</v>
      </c>
      <c r="B150" t="s">
        <v>6766</v>
      </c>
      <c r="C150" s="7" t="str">
        <f>HYPERLINK("[#]Feature_Schema_1!A39488:F39488","ICE_ROUTE_C")</f>
        <v>ICE_ROUTE_C</v>
      </c>
      <c r="D150" t="s">
        <v>6520</v>
      </c>
      <c r="E150" t="s">
        <v>1666</v>
      </c>
      <c r="F150">
        <v>0</v>
      </c>
      <c r="G150" t="s">
        <v>1667</v>
      </c>
      <c r="H150" t="s">
        <v>1668</v>
      </c>
      <c r="I150" t="s">
        <v>1669</v>
      </c>
    </row>
    <row r="151" spans="1:9" x14ac:dyDescent="0.55000000000000004">
      <c r="A151" t="s">
        <v>6988</v>
      </c>
      <c r="B151" t="s">
        <v>6770</v>
      </c>
      <c r="C151" s="7" t="str">
        <f>HYPERLINK("[#]Feature_Schema_1!A39570:F39570","ICE_SHELF_S")</f>
        <v>ICE_SHELF_S</v>
      </c>
      <c r="D151" t="s">
        <v>6521</v>
      </c>
      <c r="E151" t="s">
        <v>2786</v>
      </c>
      <c r="F151">
        <v>0</v>
      </c>
      <c r="G151" t="s">
        <v>2787</v>
      </c>
      <c r="H151" t="s">
        <v>2788</v>
      </c>
      <c r="I151" t="s">
        <v>2789</v>
      </c>
    </row>
    <row r="152" spans="1:9" x14ac:dyDescent="0.55000000000000004">
      <c r="A152" t="s">
        <v>6988</v>
      </c>
      <c r="B152" t="s">
        <v>6774</v>
      </c>
      <c r="C152" s="7" t="str">
        <f>HYPERLINK("[#]Feature_Schema_1!A39916:F39916","INDUSTRIAL_FARM_S")</f>
        <v>INDUSTRIAL_FARM_S</v>
      </c>
      <c r="D152" t="s">
        <v>6522</v>
      </c>
      <c r="E152" t="s">
        <v>1163</v>
      </c>
      <c r="F152">
        <v>0</v>
      </c>
      <c r="G152" t="s">
        <v>1164</v>
      </c>
      <c r="H152" t="s">
        <v>1165</v>
      </c>
      <c r="I152" t="s">
        <v>1166</v>
      </c>
    </row>
    <row r="153" spans="1:9" x14ac:dyDescent="0.55000000000000004">
      <c r="A153" t="s">
        <v>6988</v>
      </c>
      <c r="B153" t="s">
        <v>6780</v>
      </c>
      <c r="C153" s="7" t="str">
        <f>HYPERLINK("[#]Feature_Schema_1!A40225:F40225","INDUSTRIAL_FURNACE_P")</f>
        <v>INDUSTRIAL_FURNACE_P</v>
      </c>
      <c r="D153" t="s">
        <v>6523</v>
      </c>
      <c r="E153" t="s">
        <v>96</v>
      </c>
      <c r="F153">
        <v>0</v>
      </c>
      <c r="G153" t="s">
        <v>97</v>
      </c>
      <c r="H153" t="s">
        <v>98</v>
      </c>
      <c r="I153" t="s">
        <v>99</v>
      </c>
    </row>
    <row r="154" spans="1:9" x14ac:dyDescent="0.55000000000000004">
      <c r="A154" t="s">
        <v>6988</v>
      </c>
      <c r="B154" t="s">
        <v>6764</v>
      </c>
      <c r="C154" s="7" t="str">
        <f>HYPERLINK("[#]Feature_Schema_1!A40996:F40996","INLAND_WATERBODY_S")</f>
        <v>INLAND_WATERBODY_S</v>
      </c>
      <c r="D154" t="s">
        <v>6525</v>
      </c>
      <c r="E154" t="s">
        <v>2560</v>
      </c>
      <c r="F154">
        <v>0</v>
      </c>
      <c r="G154" t="s">
        <v>2561</v>
      </c>
      <c r="H154" t="s">
        <v>2562</v>
      </c>
      <c r="I154" t="s">
        <v>2563</v>
      </c>
    </row>
    <row r="155" spans="1:9" x14ac:dyDescent="0.55000000000000004">
      <c r="A155" t="s">
        <v>6988</v>
      </c>
      <c r="B155" t="s">
        <v>6807</v>
      </c>
      <c r="C155" s="7" t="str">
        <f>HYPERLINK("[#]Feature_Schema_1!A41408:F41408","INSTALLATION_S")</f>
        <v>INSTALLATION_S</v>
      </c>
      <c r="D155" t="s">
        <v>6527</v>
      </c>
      <c r="E155" t="s">
        <v>467</v>
      </c>
      <c r="F155">
        <v>0</v>
      </c>
      <c r="G155" t="s">
        <v>468</v>
      </c>
      <c r="H155" t="s">
        <v>469</v>
      </c>
      <c r="I155" t="s">
        <v>470</v>
      </c>
    </row>
    <row r="156" spans="1:9" x14ac:dyDescent="0.55000000000000004">
      <c r="A156" t="s">
        <v>6988</v>
      </c>
      <c r="B156" t="s">
        <v>6787</v>
      </c>
      <c r="C156" s="7" t="str">
        <f>HYPERLINK("[#]Feature_Schema_1!A41474:F41474","INSUBSTANTIAL_NAV_MARK_P")</f>
        <v>INSUBSTANTIAL_NAV_MARK_P</v>
      </c>
      <c r="D156" t="s">
        <v>6528</v>
      </c>
      <c r="E156" t="s">
        <v>2198</v>
      </c>
      <c r="F156">
        <v>0</v>
      </c>
      <c r="G156" t="s">
        <v>2199</v>
      </c>
      <c r="H156" t="s">
        <v>2200</v>
      </c>
      <c r="I156" t="s">
        <v>2201</v>
      </c>
    </row>
    <row r="157" spans="1:9" x14ac:dyDescent="0.55000000000000004">
      <c r="A157" t="s">
        <v>6988</v>
      </c>
      <c r="B157" t="s">
        <v>6769</v>
      </c>
      <c r="C157" s="7" t="str">
        <f>HYPERLINK("[#]Feature_Schema_1!A41899:F41899","INTEREST_SITE_S")</f>
        <v>INTEREST_SITE_S</v>
      </c>
      <c r="D157" t="s">
        <v>6529</v>
      </c>
      <c r="E157" t="s">
        <v>1074</v>
      </c>
      <c r="F157">
        <v>0</v>
      </c>
      <c r="G157" t="s">
        <v>1075</v>
      </c>
      <c r="H157" t="s">
        <v>1076</v>
      </c>
      <c r="I157" t="s">
        <v>1077</v>
      </c>
    </row>
    <row r="158" spans="1:9" x14ac:dyDescent="0.55000000000000004">
      <c r="A158" t="s">
        <v>6988</v>
      </c>
      <c r="B158" t="s">
        <v>6742</v>
      </c>
      <c r="C158" s="7" t="str">
        <f>HYPERLINK("[#]Feature_Schema_1!A42008:F42008","INTERNATIONAL_DATE_LINE_C")</f>
        <v>INTERNATIONAL_DATE_LINE_C</v>
      </c>
      <c r="D158" t="s">
        <v>6530</v>
      </c>
      <c r="E158" t="s">
        <v>3508</v>
      </c>
      <c r="F158">
        <v>0</v>
      </c>
      <c r="G158" t="s">
        <v>3509</v>
      </c>
      <c r="H158" t="s">
        <v>3510</v>
      </c>
      <c r="I158" t="s">
        <v>3511</v>
      </c>
    </row>
    <row r="159" spans="1:9" x14ac:dyDescent="0.55000000000000004">
      <c r="A159" t="s">
        <v>6988</v>
      </c>
      <c r="B159" t="s">
        <v>6770</v>
      </c>
      <c r="C159" s="7" t="str">
        <f>HYPERLINK("[#]Feature_Schema_1!A42113:F42113","ISLAND_S")</f>
        <v>ISLAND_S</v>
      </c>
      <c r="D159" t="s">
        <v>6531</v>
      </c>
      <c r="E159" t="s">
        <v>1883</v>
      </c>
      <c r="F159">
        <v>0</v>
      </c>
      <c r="G159" t="s">
        <v>1884</v>
      </c>
      <c r="H159" t="s">
        <v>1885</v>
      </c>
      <c r="I159" t="s">
        <v>1886</v>
      </c>
    </row>
    <row r="160" spans="1:9" x14ac:dyDescent="0.55000000000000004">
      <c r="A160" t="s">
        <v>6988</v>
      </c>
      <c r="B160" t="s">
        <v>6761</v>
      </c>
      <c r="C160" s="7" t="str">
        <f>HYPERLINK("[#]Feature_Schema_1!A42188:F42188","LAGOON_S")</f>
        <v>LAGOON_S</v>
      </c>
      <c r="D160" t="s">
        <v>6532</v>
      </c>
      <c r="E160" t="s">
        <v>2651</v>
      </c>
      <c r="F160">
        <v>0</v>
      </c>
      <c r="G160" t="s">
        <v>2652</v>
      </c>
      <c r="H160" t="s">
        <v>2653</v>
      </c>
      <c r="I160" t="s">
        <v>2654</v>
      </c>
    </row>
    <row r="161" spans="1:9" x14ac:dyDescent="0.55000000000000004">
      <c r="A161" t="s">
        <v>6988</v>
      </c>
      <c r="B161" t="s">
        <v>6749</v>
      </c>
      <c r="C161" s="7" t="str">
        <f>HYPERLINK("[#]Feature_Schema_1!A42450:F42450","LAND_AERODROME_S")</f>
        <v>LAND_AERODROME_S</v>
      </c>
      <c r="D161" t="s">
        <v>6533</v>
      </c>
      <c r="E161" t="s">
        <v>3735</v>
      </c>
      <c r="F161">
        <v>0</v>
      </c>
      <c r="G161" t="s">
        <v>1846</v>
      </c>
      <c r="H161" t="s">
        <v>3736</v>
      </c>
      <c r="I161" t="s">
        <v>3737</v>
      </c>
    </row>
    <row r="162" spans="1:9" x14ac:dyDescent="0.55000000000000004">
      <c r="A162" t="s">
        <v>6988</v>
      </c>
      <c r="B162" t="s">
        <v>6815</v>
      </c>
      <c r="C162" s="7" t="str">
        <f>HYPERLINK("[#]Feature_Schema_1!A42577:F42577","LAND_PARCEL_S")</f>
        <v>LAND_PARCEL_S</v>
      </c>
      <c r="D162" t="s">
        <v>6534</v>
      </c>
      <c r="E162" t="s">
        <v>4118</v>
      </c>
      <c r="F162">
        <v>0</v>
      </c>
      <c r="G162" t="s">
        <v>4119</v>
      </c>
      <c r="H162" t="s">
        <v>4120</v>
      </c>
      <c r="I162" t="s">
        <v>4121</v>
      </c>
    </row>
    <row r="163" spans="1:9" x14ac:dyDescent="0.55000000000000004">
      <c r="A163" t="s">
        <v>6988</v>
      </c>
      <c r="B163" t="s">
        <v>6764</v>
      </c>
      <c r="C163" s="7" t="str">
        <f>HYPERLINK("[#]Feature_Schema_1!A42625:F42625","LAND_SUBJECT_TO_INUNDATION_S")</f>
        <v>LAND_SUBJECT_TO_INUNDATION_S</v>
      </c>
      <c r="D163" t="s">
        <v>6535</v>
      </c>
      <c r="E163" t="s">
        <v>2564</v>
      </c>
      <c r="F163">
        <v>0</v>
      </c>
      <c r="G163" t="s">
        <v>2565</v>
      </c>
      <c r="H163" t="s">
        <v>2566</v>
      </c>
      <c r="I163" t="s">
        <v>2567</v>
      </c>
    </row>
    <row r="164" spans="1:9" x14ac:dyDescent="0.55000000000000004">
      <c r="A164" t="s">
        <v>6988</v>
      </c>
      <c r="B164" t="s">
        <v>6796</v>
      </c>
      <c r="C164" s="7" t="str">
        <f>HYPERLINK("[#]Feature_Schema_1!A42672:F42672","LAND_WATER_BOUNDARY_C")</f>
        <v>LAND_WATER_BOUNDARY_C</v>
      </c>
      <c r="D164" t="s">
        <v>6536</v>
      </c>
      <c r="E164" t="s">
        <v>1852</v>
      </c>
      <c r="F164">
        <v>0</v>
      </c>
      <c r="G164" t="s">
        <v>1853</v>
      </c>
      <c r="H164" t="s">
        <v>1854</v>
      </c>
      <c r="I164" t="s">
        <v>1855</v>
      </c>
    </row>
    <row r="165" spans="1:9" x14ac:dyDescent="0.55000000000000004">
      <c r="A165" t="s">
        <v>6988</v>
      </c>
      <c r="B165" t="s">
        <v>6770</v>
      </c>
      <c r="C165" s="7" t="str">
        <f>HYPERLINK("[#]Feature_Schema_1!A42811:F42811","LANDSLIDE_MASS_S")</f>
        <v>LANDSLIDE_MASS_S</v>
      </c>
      <c r="D165" t="s">
        <v>6538</v>
      </c>
      <c r="E165" t="s">
        <v>2998</v>
      </c>
      <c r="F165">
        <v>0</v>
      </c>
      <c r="G165" t="s">
        <v>2999</v>
      </c>
      <c r="H165" t="s">
        <v>3000</v>
      </c>
      <c r="I165" t="s">
        <v>3001</v>
      </c>
    </row>
    <row r="166" spans="1:9" x14ac:dyDescent="0.55000000000000004">
      <c r="A166" t="s">
        <v>6988</v>
      </c>
      <c r="B166" t="s">
        <v>6749</v>
      </c>
      <c r="C166" s="7" t="str">
        <f>HYPERLINK("[#]Feature_Schema_1!A42932:F42932","LAUNCH_PAD_S")</f>
        <v>LAUNCH_PAD_S</v>
      </c>
      <c r="D166" t="s">
        <v>6539</v>
      </c>
      <c r="E166" t="s">
        <v>3770</v>
      </c>
      <c r="F166">
        <v>0</v>
      </c>
      <c r="G166" t="s">
        <v>3771</v>
      </c>
      <c r="H166" t="s">
        <v>3772</v>
      </c>
      <c r="I166" t="s">
        <v>3773</v>
      </c>
    </row>
    <row r="167" spans="1:9" x14ac:dyDescent="0.55000000000000004">
      <c r="A167" t="s">
        <v>6988</v>
      </c>
      <c r="B167" t="s">
        <v>6771</v>
      </c>
      <c r="C167" s="7" t="str">
        <f>HYPERLINK("[#]Feature_Schema_1!A43059:F43059","LIGHT_SUPPORT_STRUCTURE_P")</f>
        <v>LIGHT_SUPPORT_STRUCTURE_P</v>
      </c>
      <c r="D167" t="s">
        <v>6541</v>
      </c>
      <c r="E167" t="s">
        <v>962</v>
      </c>
      <c r="F167">
        <v>0</v>
      </c>
      <c r="G167" t="s">
        <v>963</v>
      </c>
      <c r="H167" t="s">
        <v>964</v>
      </c>
      <c r="I167" t="s">
        <v>965</v>
      </c>
    </row>
    <row r="168" spans="1:9" x14ac:dyDescent="0.55000000000000004">
      <c r="A168" t="s">
        <v>6988</v>
      </c>
      <c r="B168" t="s">
        <v>6817</v>
      </c>
      <c r="C168" s="7" t="str">
        <f>HYPERLINK("[#]Feature_Schema_1!A43166:F43166","LIGHT_VESSEL_P")</f>
        <v>LIGHT_VESSEL_P</v>
      </c>
      <c r="D168" t="s">
        <v>6542</v>
      </c>
      <c r="E168" t="s">
        <v>2194</v>
      </c>
      <c r="F168">
        <v>0</v>
      </c>
      <c r="G168" t="s">
        <v>2195</v>
      </c>
      <c r="H168" t="s">
        <v>2196</v>
      </c>
      <c r="I168" t="s">
        <v>2197</v>
      </c>
    </row>
    <row r="169" spans="1:9" x14ac:dyDescent="0.55000000000000004">
      <c r="A169" t="s">
        <v>6988</v>
      </c>
      <c r="B169" t="s">
        <v>6817</v>
      </c>
      <c r="C169" s="7" t="str">
        <f>HYPERLINK("[#]Feature_Schema_1!A43296:F43296","LIGHTHOUSE_P")</f>
        <v>LIGHTHOUSE_P</v>
      </c>
      <c r="D169" t="s">
        <v>6543</v>
      </c>
      <c r="E169" t="s">
        <v>2183</v>
      </c>
      <c r="F169">
        <v>0</v>
      </c>
      <c r="G169" t="s">
        <v>694</v>
      </c>
      <c r="H169" t="s">
        <v>2184</v>
      </c>
      <c r="I169" t="s">
        <v>2185</v>
      </c>
    </row>
    <row r="170" spans="1:9" x14ac:dyDescent="0.55000000000000004">
      <c r="A170" t="s">
        <v>6988</v>
      </c>
      <c r="B170" t="s">
        <v>6745</v>
      </c>
      <c r="C170" s="7" t="str">
        <f>HYPERLINK("[#]Feature_Schema_1!A43648:F43648","LIQUID_DIFFUSER_P")</f>
        <v>LIQUID_DIFFUSER_P</v>
      </c>
      <c r="D170" t="s">
        <v>6544</v>
      </c>
      <c r="E170" t="s">
        <v>56</v>
      </c>
      <c r="F170">
        <v>0</v>
      </c>
      <c r="G170" t="s">
        <v>57</v>
      </c>
      <c r="H170" t="s">
        <v>58</v>
      </c>
      <c r="I170" t="s">
        <v>59</v>
      </c>
    </row>
    <row r="171" spans="1:9" x14ac:dyDescent="0.55000000000000004">
      <c r="A171" t="s">
        <v>6988</v>
      </c>
      <c r="B171" t="s">
        <v>6819</v>
      </c>
      <c r="C171" s="7" t="str">
        <f>HYPERLINK("[#]Feature_Schema_1!A43703:F43703","LOCAL_MAGNETIC_ANOMALY_S")</f>
        <v>LOCAL_MAGNETIC_ANOMALY_S</v>
      </c>
      <c r="D171" t="s">
        <v>6545</v>
      </c>
      <c r="E171" t="s">
        <v>6032</v>
      </c>
      <c r="F171">
        <v>0</v>
      </c>
      <c r="G171" t="s">
        <v>6033</v>
      </c>
      <c r="H171" t="s">
        <v>6034</v>
      </c>
      <c r="I171" t="s">
        <v>6035</v>
      </c>
    </row>
    <row r="172" spans="1:9" x14ac:dyDescent="0.55000000000000004">
      <c r="A172" t="s">
        <v>6988</v>
      </c>
      <c r="B172" t="s">
        <v>6776</v>
      </c>
      <c r="C172" s="7" t="str">
        <f>HYPERLINK("[#]Feature_Schema_1!A43847:F43847","LOCK_P")</f>
        <v>LOCK_P</v>
      </c>
      <c r="D172" t="s">
        <v>6546</v>
      </c>
      <c r="E172" t="s">
        <v>2707</v>
      </c>
      <c r="F172">
        <v>0</v>
      </c>
      <c r="G172" t="s">
        <v>2708</v>
      </c>
      <c r="H172" t="s">
        <v>2709</v>
      </c>
      <c r="I172" t="s">
        <v>2710</v>
      </c>
    </row>
    <row r="173" spans="1:9" x14ac:dyDescent="0.55000000000000004">
      <c r="A173" t="s">
        <v>6988</v>
      </c>
      <c r="B173" t="s">
        <v>6781</v>
      </c>
      <c r="C173" s="7" t="str">
        <f>HYPERLINK("[#]Feature_Schema_1!A44067:F44067","LOGGING_SITE_S")</f>
        <v>LOGGING_SITE_S</v>
      </c>
      <c r="D173" t="s">
        <v>6547</v>
      </c>
      <c r="E173" t="s">
        <v>3393</v>
      </c>
      <c r="F173">
        <v>0</v>
      </c>
      <c r="G173" t="s">
        <v>3394</v>
      </c>
      <c r="H173" t="s">
        <v>3395</v>
      </c>
      <c r="I173" t="s">
        <v>3396</v>
      </c>
    </row>
    <row r="174" spans="1:9" x14ac:dyDescent="0.55000000000000004">
      <c r="A174" t="s">
        <v>6988</v>
      </c>
      <c r="B174" t="s">
        <v>6768</v>
      </c>
      <c r="C174" s="7" t="str">
        <f>HYPERLINK("[#]Feature_Schema_1!A44105:F44105","LOOKOUT_P")</f>
        <v>LOOKOUT_P</v>
      </c>
      <c r="D174" t="s">
        <v>6548</v>
      </c>
      <c r="E174" t="s">
        <v>383</v>
      </c>
      <c r="F174">
        <v>0</v>
      </c>
      <c r="G174" t="s">
        <v>384</v>
      </c>
      <c r="H174" t="s">
        <v>385</v>
      </c>
      <c r="I174" t="s">
        <v>386</v>
      </c>
    </row>
    <row r="175" spans="1:9" x14ac:dyDescent="0.55000000000000004">
      <c r="A175" t="s">
        <v>6988</v>
      </c>
      <c r="B175" t="s">
        <v>6761</v>
      </c>
      <c r="C175" s="7" t="str">
        <f>HYPERLINK("[#]Feature_Schema_1!A44603:F44603","MARICULTURE_SITE_S")</f>
        <v>MARICULTURE_SITE_S</v>
      </c>
      <c r="D175" t="s">
        <v>6551</v>
      </c>
      <c r="E175" t="s">
        <v>2524</v>
      </c>
      <c r="F175">
        <v>0</v>
      </c>
      <c r="G175" t="s">
        <v>2525</v>
      </c>
      <c r="H175" t="s">
        <v>2526</v>
      </c>
      <c r="I175" t="s">
        <v>2527</v>
      </c>
    </row>
    <row r="176" spans="1:9" x14ac:dyDescent="0.55000000000000004">
      <c r="A176" t="s">
        <v>6988</v>
      </c>
      <c r="B176" t="s">
        <v>6761</v>
      </c>
      <c r="C176" s="7" t="str">
        <f>HYPERLINK("[#]Feature_Schema_1!A44713:F44713","MARITIME_CAUTION_AREA_S")</f>
        <v>MARITIME_CAUTION_AREA_S</v>
      </c>
      <c r="D176" t="s">
        <v>6552</v>
      </c>
      <c r="E176" t="s">
        <v>3559</v>
      </c>
      <c r="F176">
        <v>0</v>
      </c>
      <c r="G176" t="s">
        <v>3560</v>
      </c>
      <c r="H176" t="s">
        <v>3561</v>
      </c>
      <c r="I176" t="s">
        <v>3562</v>
      </c>
    </row>
    <row r="177" spans="1:9" x14ac:dyDescent="0.55000000000000004">
      <c r="A177" t="s">
        <v>6988</v>
      </c>
      <c r="B177" t="s">
        <v>6801</v>
      </c>
      <c r="C177" s="7" t="str">
        <f>HYPERLINK("[#]Feature_Schema_1!A45120:F45120","MARITIME_LIMIT_C")</f>
        <v>MARITIME_LIMIT_C</v>
      </c>
      <c r="D177" t="s">
        <v>6553</v>
      </c>
      <c r="E177" t="s">
        <v>3536</v>
      </c>
      <c r="F177">
        <v>0</v>
      </c>
      <c r="G177" t="s">
        <v>3537</v>
      </c>
      <c r="H177" t="s">
        <v>3538</v>
      </c>
      <c r="I177" t="s">
        <v>3539</v>
      </c>
    </row>
    <row r="178" spans="1:9" x14ac:dyDescent="0.55000000000000004">
      <c r="A178" t="s">
        <v>6988</v>
      </c>
      <c r="B178" t="s">
        <v>6787</v>
      </c>
      <c r="C178" s="7" t="str">
        <f>HYPERLINK("[#]Feature_Schema_1!A45579:F45579","MARITIME_NAVIGATION_BEACON_P")</f>
        <v>MARITIME_NAVIGATION_BEACON_P</v>
      </c>
      <c r="D178" t="s">
        <v>6555</v>
      </c>
      <c r="E178" t="s">
        <v>2143</v>
      </c>
      <c r="F178">
        <v>0</v>
      </c>
      <c r="G178" t="s">
        <v>2144</v>
      </c>
      <c r="H178" t="s">
        <v>2145</v>
      </c>
      <c r="I178" t="s">
        <v>2146</v>
      </c>
    </row>
    <row r="179" spans="1:9" x14ac:dyDescent="0.55000000000000004">
      <c r="A179" t="s">
        <v>6988</v>
      </c>
      <c r="B179" t="s">
        <v>6787</v>
      </c>
      <c r="C179" s="7" t="str">
        <f>HYPERLINK("[#]Feature_Schema_1!A45740:F45740","MARITIME_NAVIGATION_LIGHT_P")</f>
        <v>MARITIME_NAVIGATION_LIGHT_P</v>
      </c>
      <c r="D179" t="s">
        <v>6556</v>
      </c>
      <c r="E179" t="s">
        <v>2179</v>
      </c>
      <c r="F179">
        <v>0</v>
      </c>
      <c r="G179" t="s">
        <v>2180</v>
      </c>
      <c r="H179" t="s">
        <v>2181</v>
      </c>
      <c r="I179" t="s">
        <v>2182</v>
      </c>
    </row>
    <row r="180" spans="1:9" x14ac:dyDescent="0.55000000000000004">
      <c r="A180" t="s">
        <v>6988</v>
      </c>
      <c r="B180" t="s">
        <v>6787</v>
      </c>
      <c r="C180" s="7" t="str">
        <f>HYPERLINK("[#]Feature_Schema_1!A45956:F45956","MARITIME_NAVIGATION_MARKER_P")</f>
        <v>MARITIME_NAVIGATION_MARKER_P</v>
      </c>
      <c r="D180" t="s">
        <v>6557</v>
      </c>
      <c r="E180" t="s">
        <v>2186</v>
      </c>
      <c r="F180">
        <v>0</v>
      </c>
      <c r="G180" t="s">
        <v>2187</v>
      </c>
      <c r="H180" t="s">
        <v>2188</v>
      </c>
      <c r="I180" t="s">
        <v>2189</v>
      </c>
    </row>
    <row r="181" spans="1:9" x14ac:dyDescent="0.55000000000000004">
      <c r="A181" t="s">
        <v>6988</v>
      </c>
      <c r="B181" t="s">
        <v>6820</v>
      </c>
      <c r="C181" s="7" t="str">
        <f>HYPERLINK("[#]Feature_Schema_1!A46017:F46017","MARITIME_RADAR_REF_LINE_C")</f>
        <v>MARITIME_RADAR_REF_LINE_C</v>
      </c>
      <c r="D181" t="s">
        <v>6558</v>
      </c>
      <c r="E181" t="s">
        <v>3611</v>
      </c>
      <c r="F181">
        <v>0</v>
      </c>
      <c r="G181" t="s">
        <v>3612</v>
      </c>
      <c r="H181" t="s">
        <v>3613</v>
      </c>
      <c r="I181" t="s">
        <v>3614</v>
      </c>
    </row>
    <row r="182" spans="1:9" x14ac:dyDescent="0.55000000000000004">
      <c r="A182" t="s">
        <v>6988</v>
      </c>
      <c r="B182" t="s">
        <v>6787</v>
      </c>
      <c r="C182" s="7" t="str">
        <f>HYPERLINK("[#]Feature_Schema_1!A46052:F46052","MARITIME_RADIOBEACON_P")</f>
        <v>MARITIME_RADIOBEACON_P</v>
      </c>
      <c r="D182" t="s">
        <v>6559</v>
      </c>
      <c r="E182" t="s">
        <v>2171</v>
      </c>
      <c r="F182">
        <v>0</v>
      </c>
      <c r="G182" t="s">
        <v>2172</v>
      </c>
      <c r="H182" t="s">
        <v>2173</v>
      </c>
      <c r="I182" t="s">
        <v>2174</v>
      </c>
    </row>
    <row r="183" spans="1:9" x14ac:dyDescent="0.55000000000000004">
      <c r="A183" t="s">
        <v>6988</v>
      </c>
      <c r="B183" t="s">
        <v>6801</v>
      </c>
      <c r="C183" s="7" t="str">
        <f>HYPERLINK("[#]Feature_Schema_1!A46161:F46161","MARITIME_ROUTE_C")</f>
        <v>MARITIME_ROUTE_C</v>
      </c>
      <c r="D183" t="s">
        <v>6560</v>
      </c>
      <c r="E183" t="s">
        <v>3615</v>
      </c>
      <c r="F183">
        <v>0</v>
      </c>
      <c r="G183" t="s">
        <v>3616</v>
      </c>
      <c r="H183" t="s">
        <v>3617</v>
      </c>
      <c r="I183" t="s">
        <v>3618</v>
      </c>
    </row>
    <row r="184" spans="1:9" x14ac:dyDescent="0.55000000000000004">
      <c r="A184" t="s">
        <v>6988</v>
      </c>
      <c r="B184" t="s">
        <v>6787</v>
      </c>
      <c r="C184" s="7" t="str">
        <f>HYPERLINK("[#]Feature_Schema_1!A46591:F46591","MARITIME_SIGNAL_STATION_P")</f>
        <v>MARITIME_SIGNAL_STATION_P</v>
      </c>
      <c r="D184" t="s">
        <v>6561</v>
      </c>
      <c r="E184" t="s">
        <v>2054</v>
      </c>
      <c r="F184">
        <v>0</v>
      </c>
      <c r="G184" t="s">
        <v>692</v>
      </c>
      <c r="H184" t="s">
        <v>2055</v>
      </c>
      <c r="I184" t="s">
        <v>2056</v>
      </c>
    </row>
    <row r="185" spans="1:9" x14ac:dyDescent="0.55000000000000004">
      <c r="A185" t="s">
        <v>6988</v>
      </c>
      <c r="B185" t="s">
        <v>6781</v>
      </c>
      <c r="C185" s="7" t="str">
        <f>HYPERLINK("[#]Feature_Schema_1!A46790:F46790","MARSH_S")</f>
        <v>MARSH_S</v>
      </c>
      <c r="D185" t="s">
        <v>6562</v>
      </c>
      <c r="E185" t="s">
        <v>3344</v>
      </c>
      <c r="F185">
        <v>0</v>
      </c>
      <c r="G185" t="s">
        <v>3345</v>
      </c>
      <c r="H185" t="s">
        <v>3346</v>
      </c>
      <c r="I185" t="s">
        <v>3347</v>
      </c>
    </row>
    <row r="186" spans="1:9" x14ac:dyDescent="0.55000000000000004">
      <c r="A186" t="s">
        <v>6988</v>
      </c>
      <c r="B186" t="s">
        <v>6801</v>
      </c>
      <c r="C186" s="7" t="str">
        <f>HYPERLINK("[#]Feature_Schema_1!A46937:F46937","MEASURED_DISTANCE_LINE_C")</f>
        <v>MEASURED_DISTANCE_LINE_C</v>
      </c>
      <c r="D186" t="s">
        <v>6563</v>
      </c>
      <c r="E186" t="s">
        <v>3599</v>
      </c>
      <c r="F186">
        <v>0</v>
      </c>
      <c r="G186" t="s">
        <v>3600</v>
      </c>
      <c r="H186" t="s">
        <v>3601</v>
      </c>
      <c r="I186" t="s">
        <v>3602</v>
      </c>
    </row>
    <row r="187" spans="1:9" x14ac:dyDescent="0.55000000000000004">
      <c r="A187" t="s">
        <v>6988</v>
      </c>
      <c r="B187" t="s">
        <v>6768</v>
      </c>
      <c r="C187" s="7" t="str">
        <f>HYPERLINK("[#]Feature_Schema_1!A47091:F47091","MEMORIAL_MONUMENT_P")</f>
        <v>MEMORIAL_MONUMENT_P</v>
      </c>
      <c r="D187" t="s">
        <v>6564</v>
      </c>
      <c r="E187" t="s">
        <v>1026</v>
      </c>
      <c r="F187">
        <v>0</v>
      </c>
      <c r="G187" t="s">
        <v>1027</v>
      </c>
      <c r="H187" t="s">
        <v>1028</v>
      </c>
      <c r="I187" t="s">
        <v>1029</v>
      </c>
    </row>
    <row r="188" spans="1:9" x14ac:dyDescent="0.55000000000000004">
      <c r="A188" t="s">
        <v>6988</v>
      </c>
      <c r="B188" t="s">
        <v>6789</v>
      </c>
      <c r="C188" s="7" t="str">
        <f>HYPERLINK("[#]Feature_Schema_1!A47507:F47507","MILITARY_INSTALLATION_S")</f>
        <v>MILITARY_INSTALLATION_S</v>
      </c>
      <c r="D188" t="s">
        <v>6566</v>
      </c>
      <c r="E188" t="s">
        <v>4333</v>
      </c>
      <c r="G188" t="s">
        <v>4334</v>
      </c>
    </row>
    <row r="189" spans="1:9" x14ac:dyDescent="0.55000000000000004">
      <c r="A189" t="s">
        <v>6988</v>
      </c>
      <c r="B189" t="s">
        <v>6789</v>
      </c>
      <c r="C189" s="7" t="str">
        <f>HYPERLINK("[#]Feature_Schema_1!A47848:F47848","MINEFIELD_S")</f>
        <v>MINEFIELD_S</v>
      </c>
      <c r="D189" t="s">
        <v>6568</v>
      </c>
      <c r="E189" t="s">
        <v>919</v>
      </c>
      <c r="F189">
        <v>0</v>
      </c>
      <c r="G189" t="s">
        <v>920</v>
      </c>
      <c r="H189" t="s">
        <v>921</v>
      </c>
      <c r="I189" t="s">
        <v>922</v>
      </c>
    </row>
    <row r="190" spans="1:9" x14ac:dyDescent="0.55000000000000004">
      <c r="A190" t="s">
        <v>6988</v>
      </c>
      <c r="B190" t="s">
        <v>6780</v>
      </c>
      <c r="C190" s="7" t="str">
        <f>HYPERLINK("[#]Feature_Schema_1!A47890:F47890","MINERAL_PILE_P")</f>
        <v>MINERAL_PILE_P</v>
      </c>
      <c r="D190" t="s">
        <v>6569</v>
      </c>
      <c r="E190" t="s">
        <v>1206</v>
      </c>
      <c r="F190">
        <v>0</v>
      </c>
      <c r="G190" t="s">
        <v>1207</v>
      </c>
      <c r="H190" t="s">
        <v>1208</v>
      </c>
      <c r="I190" t="s">
        <v>1209</v>
      </c>
    </row>
    <row r="191" spans="1:9" x14ac:dyDescent="0.55000000000000004">
      <c r="A191" t="s">
        <v>6988</v>
      </c>
      <c r="B191" t="s">
        <v>6744</v>
      </c>
      <c r="C191" s="7" t="str">
        <f>HYPERLINK("[#]Feature_Schema_1!A47980:F47980","MINERAL_PILE_S")</f>
        <v>MINERAL_PILE_S</v>
      </c>
      <c r="D191" t="s">
        <v>6569</v>
      </c>
      <c r="E191" t="s">
        <v>1206</v>
      </c>
      <c r="F191">
        <v>0</v>
      </c>
      <c r="G191" t="s">
        <v>1207</v>
      </c>
      <c r="H191" t="s">
        <v>1208</v>
      </c>
      <c r="I191" t="s">
        <v>1209</v>
      </c>
    </row>
    <row r="192" spans="1:9" x14ac:dyDescent="0.55000000000000004">
      <c r="A192" t="s">
        <v>6988</v>
      </c>
      <c r="B192" t="s">
        <v>6790</v>
      </c>
      <c r="C192" s="7" t="str">
        <f>HYPERLINK("[#]Feature_Schema_1!A48070:F48070","MISSILE_SITE_P")</f>
        <v>MISSILE_SITE_P</v>
      </c>
      <c r="D192" t="s">
        <v>970</v>
      </c>
      <c r="E192" t="s">
        <v>972</v>
      </c>
      <c r="F192">
        <v>0</v>
      </c>
      <c r="G192" t="s">
        <v>973</v>
      </c>
      <c r="H192" t="s">
        <v>974</v>
      </c>
      <c r="I192" t="s">
        <v>971</v>
      </c>
    </row>
    <row r="193" spans="1:9" x14ac:dyDescent="0.55000000000000004">
      <c r="A193" t="s">
        <v>6988</v>
      </c>
      <c r="B193" t="s">
        <v>6763</v>
      </c>
      <c r="C193" s="7" t="str">
        <f>HYPERLINK("[#]Feature_Schema_1!A48478:F48478","MOAT_C")</f>
        <v>MOAT_C</v>
      </c>
      <c r="D193" t="s">
        <v>6570</v>
      </c>
      <c r="E193" t="s">
        <v>2576</v>
      </c>
      <c r="F193">
        <v>0</v>
      </c>
      <c r="G193" t="s">
        <v>2577</v>
      </c>
      <c r="H193" t="s">
        <v>2578</v>
      </c>
      <c r="I193" t="s">
        <v>2579</v>
      </c>
    </row>
    <row r="194" spans="1:9" x14ac:dyDescent="0.55000000000000004">
      <c r="A194" t="s">
        <v>6988</v>
      </c>
      <c r="B194" t="s">
        <v>6748</v>
      </c>
      <c r="C194" s="7" t="str">
        <f>HYPERLINK("[#]Feature_Schema_1!A48660:F48660","MOORING_MAST_P")</f>
        <v>MOORING_MAST_P</v>
      </c>
      <c r="D194" t="s">
        <v>6571</v>
      </c>
      <c r="E194" t="s">
        <v>1690</v>
      </c>
      <c r="F194">
        <v>0</v>
      </c>
      <c r="G194" t="s">
        <v>1691</v>
      </c>
      <c r="H194" t="s">
        <v>1692</v>
      </c>
      <c r="I194" t="s">
        <v>1693</v>
      </c>
    </row>
    <row r="195" spans="1:9" x14ac:dyDescent="0.55000000000000004">
      <c r="A195" t="s">
        <v>6988</v>
      </c>
      <c r="B195" t="s">
        <v>6770</v>
      </c>
      <c r="C195" s="7" t="str">
        <f>HYPERLINK("[#]Feature_Schema_1!A48747:F48747","MORAINE_S")</f>
        <v>MORAINE_S</v>
      </c>
      <c r="D195" t="s">
        <v>6572</v>
      </c>
      <c r="E195" t="s">
        <v>2766</v>
      </c>
      <c r="F195">
        <v>0</v>
      </c>
      <c r="G195" t="s">
        <v>2767</v>
      </c>
      <c r="H195" t="s">
        <v>2768</v>
      </c>
      <c r="I195" t="s">
        <v>2769</v>
      </c>
    </row>
    <row r="196" spans="1:9" x14ac:dyDescent="0.55000000000000004">
      <c r="A196" t="s">
        <v>6988</v>
      </c>
      <c r="B196" t="s">
        <v>6783</v>
      </c>
      <c r="C196" s="7" t="str">
        <f>HYPERLINK("[#]Feature_Schema_1!A48784:F48784","MOTOR_VEHICLE_STATION_P")</f>
        <v>MOTOR_VEHICLE_STATION_P</v>
      </c>
      <c r="D196" t="s">
        <v>6573</v>
      </c>
      <c r="E196" t="s">
        <v>1770</v>
      </c>
      <c r="F196">
        <v>0</v>
      </c>
      <c r="G196" t="s">
        <v>1771</v>
      </c>
      <c r="H196" t="s">
        <v>1772</v>
      </c>
      <c r="I196" t="s">
        <v>1773</v>
      </c>
    </row>
    <row r="197" spans="1:9" x14ac:dyDescent="0.55000000000000004">
      <c r="A197" t="s">
        <v>6988</v>
      </c>
      <c r="B197" t="s">
        <v>6811</v>
      </c>
      <c r="C197" s="7" t="str">
        <f>HYPERLINK("[#]Feature_Schema_1!A49152:F49152","MUNITION_STORAGE_FACILITY_S")</f>
        <v>MUNITION_STORAGE_FACILITY_S</v>
      </c>
      <c r="D197" t="s">
        <v>6575</v>
      </c>
      <c r="E197" t="s">
        <v>1278</v>
      </c>
      <c r="F197">
        <v>0</v>
      </c>
      <c r="G197" t="s">
        <v>1279</v>
      </c>
      <c r="H197" t="s">
        <v>1280</v>
      </c>
      <c r="I197" t="s">
        <v>1281</v>
      </c>
    </row>
    <row r="198" spans="1:9" x14ac:dyDescent="0.55000000000000004">
      <c r="A198" t="s">
        <v>6988</v>
      </c>
      <c r="B198" t="s">
        <v>6756</v>
      </c>
      <c r="C198" s="7" t="str">
        <f>HYPERLINK("[#]Feature_Schema_1!A49278:F49278","NAMED_LOCATION_P")</f>
        <v>NAMED_LOCATION_P</v>
      </c>
      <c r="D198" t="s">
        <v>6076</v>
      </c>
      <c r="E198" t="s">
        <v>6078</v>
      </c>
      <c r="F198">
        <v>0</v>
      </c>
      <c r="G198" t="s">
        <v>6079</v>
      </c>
      <c r="H198" t="s">
        <v>6080</v>
      </c>
      <c r="I198" t="s">
        <v>6077</v>
      </c>
    </row>
    <row r="199" spans="1:9" x14ac:dyDescent="0.55000000000000004">
      <c r="A199" t="s">
        <v>6988</v>
      </c>
      <c r="B199" t="s">
        <v>6792</v>
      </c>
      <c r="C199" s="7" t="str">
        <f>HYPERLINK("[#]Feature_Schema_1!A49557:F49557","NATURAL_POOL_P")</f>
        <v>NATURAL_POOL_P</v>
      </c>
      <c r="D199" t="s">
        <v>6577</v>
      </c>
      <c r="E199" t="s">
        <v>2628</v>
      </c>
      <c r="F199">
        <v>0</v>
      </c>
      <c r="G199" t="s">
        <v>2629</v>
      </c>
      <c r="H199" t="s">
        <v>2630</v>
      </c>
      <c r="I199" t="s">
        <v>2631</v>
      </c>
    </row>
    <row r="200" spans="1:9" x14ac:dyDescent="0.55000000000000004">
      <c r="A200" t="s">
        <v>6988</v>
      </c>
      <c r="B200" t="s">
        <v>6775</v>
      </c>
      <c r="C200" s="7" t="str">
        <f>HYPERLINK("[#]Feature_Schema_1!A50621:F50621","NAVIGABLE_CANAL_C")</f>
        <v>NAVIGABLE_CANAL_C</v>
      </c>
      <c r="D200" t="s">
        <v>6580</v>
      </c>
      <c r="E200" t="s">
        <v>2508</v>
      </c>
      <c r="F200">
        <v>0</v>
      </c>
      <c r="G200" t="s">
        <v>2509</v>
      </c>
      <c r="H200" t="s">
        <v>2510</v>
      </c>
      <c r="I200" t="s">
        <v>2511</v>
      </c>
    </row>
    <row r="201" spans="1:9" x14ac:dyDescent="0.55000000000000004">
      <c r="A201" t="s">
        <v>6988</v>
      </c>
      <c r="B201" t="s">
        <v>6771</v>
      </c>
      <c r="C201" s="7" t="str">
        <f>HYPERLINK("[#]Feature_Schema_1!A51624:F51624","NON_BUILDING_STRUCTURE_P")</f>
        <v>NON_BUILDING_STRUCTURE_P</v>
      </c>
      <c r="D201" t="s">
        <v>6582</v>
      </c>
      <c r="E201" t="s">
        <v>479</v>
      </c>
      <c r="F201">
        <v>0</v>
      </c>
      <c r="G201" t="s">
        <v>480</v>
      </c>
      <c r="H201" t="s">
        <v>481</v>
      </c>
      <c r="I201" t="s">
        <v>482</v>
      </c>
    </row>
    <row r="202" spans="1:9" x14ac:dyDescent="0.55000000000000004">
      <c r="A202" t="s">
        <v>6988</v>
      </c>
      <c r="B202" t="s">
        <v>6780</v>
      </c>
      <c r="C202" s="7" t="str">
        <f>HYPERLINK("[#]Feature_Schema_1!A52596:F52596","NON_WATER_WELL_P")</f>
        <v>NON_WATER_WELL_P</v>
      </c>
      <c r="D202" s="11" t="s">
        <v>7941</v>
      </c>
      <c r="E202" s="11" t="s">
        <v>7937</v>
      </c>
      <c r="G202" t="s">
        <v>26</v>
      </c>
    </row>
    <row r="203" spans="1:9" x14ac:dyDescent="0.55000000000000004">
      <c r="A203" t="s">
        <v>6988</v>
      </c>
      <c r="B203" t="s">
        <v>6745</v>
      </c>
      <c r="C203" s="7" t="str">
        <f>HYPERLINK("[#]Feature_Schema_1!A52728:F52728","NUCLEAR_REACTOR_CONTAINMENT_P")</f>
        <v>NUCLEAR_REACTOR_CONTAINMENT_P</v>
      </c>
      <c r="D203" t="s">
        <v>6584</v>
      </c>
      <c r="E203" t="s">
        <v>153</v>
      </c>
      <c r="F203">
        <v>0</v>
      </c>
      <c r="G203" t="s">
        <v>154</v>
      </c>
      <c r="H203" t="s">
        <v>155</v>
      </c>
      <c r="I203" t="s">
        <v>156</v>
      </c>
    </row>
    <row r="204" spans="1:9" x14ac:dyDescent="0.55000000000000004">
      <c r="A204" t="s">
        <v>6988</v>
      </c>
      <c r="B204" t="s">
        <v>6770</v>
      </c>
      <c r="C204" s="7" t="str">
        <f>HYPERLINK("[#]Feature_Schema_1!A53012:F53012","OASIS_S")</f>
        <v>OASIS_S</v>
      </c>
      <c r="D204" t="s">
        <v>6585</v>
      </c>
      <c r="E204" t="s">
        <v>3231</v>
      </c>
      <c r="F204">
        <v>0</v>
      </c>
      <c r="G204" t="s">
        <v>3232</v>
      </c>
      <c r="H204" t="s">
        <v>3233</v>
      </c>
      <c r="I204" t="s">
        <v>3234</v>
      </c>
    </row>
    <row r="205" spans="1:9" x14ac:dyDescent="0.55000000000000004">
      <c r="A205" t="s">
        <v>6988</v>
      </c>
      <c r="B205" t="s">
        <v>6807</v>
      </c>
      <c r="C205" s="7" t="str">
        <f>HYPERLINK("[#]Feature_Schema_1!A53058:F53058","OFFICE_PARK_S")</f>
        <v>OFFICE_PARK_S</v>
      </c>
      <c r="D205" t="s">
        <v>6586</v>
      </c>
      <c r="E205" t="s">
        <v>217</v>
      </c>
      <c r="F205">
        <v>0</v>
      </c>
      <c r="G205" t="s">
        <v>218</v>
      </c>
      <c r="H205" t="s">
        <v>219</v>
      </c>
      <c r="I205" t="s">
        <v>220</v>
      </c>
    </row>
    <row r="206" spans="1:9" x14ac:dyDescent="0.55000000000000004">
      <c r="A206" t="s">
        <v>6988</v>
      </c>
      <c r="B206" t="s">
        <v>6792</v>
      </c>
      <c r="C206" s="7" t="str">
        <f>HYPERLINK("[#]Feature_Schema_1!A53793:F53793","OFFSHORE_CONSTRUCTION_P")</f>
        <v>OFFSHORE_CONSTRUCTION_P</v>
      </c>
      <c r="D206" t="s">
        <v>6587</v>
      </c>
      <c r="E206" t="s">
        <v>2357</v>
      </c>
      <c r="F206">
        <v>0</v>
      </c>
      <c r="G206" t="s">
        <v>2358</v>
      </c>
      <c r="H206" t="s">
        <v>2359</v>
      </c>
      <c r="I206" t="s">
        <v>2360</v>
      </c>
    </row>
    <row r="207" spans="1:9" x14ac:dyDescent="0.55000000000000004">
      <c r="A207" t="s">
        <v>6988</v>
      </c>
      <c r="B207" t="s">
        <v>6774</v>
      </c>
      <c r="C207" s="7" t="str">
        <f>HYPERLINK("[#]Feature_Schema_1!A54278:F54278","ORCHARD_S")</f>
        <v>ORCHARD_S</v>
      </c>
      <c r="D207" t="s">
        <v>6588</v>
      </c>
      <c r="E207" t="s">
        <v>3043</v>
      </c>
      <c r="F207">
        <v>0</v>
      </c>
      <c r="G207" t="s">
        <v>3044</v>
      </c>
      <c r="H207" t="s">
        <v>3045</v>
      </c>
      <c r="I207" t="s">
        <v>3046</v>
      </c>
    </row>
    <row r="208" spans="1:9" x14ac:dyDescent="0.55000000000000004">
      <c r="A208" t="s">
        <v>6988</v>
      </c>
      <c r="B208" t="s">
        <v>6750</v>
      </c>
      <c r="C208" s="7" t="str">
        <f>HYPERLINK("[#]Feature_Schema_1!A54511:F54511","OUTDOOR_THEATRE_SCREEN_P")</f>
        <v>OUTDOOR_THEATRE_SCREEN_P</v>
      </c>
      <c r="D208" t="s">
        <v>6589</v>
      </c>
      <c r="E208" t="s">
        <v>355</v>
      </c>
      <c r="F208">
        <v>0</v>
      </c>
      <c r="G208" t="s">
        <v>356</v>
      </c>
      <c r="H208" t="s">
        <v>357</v>
      </c>
      <c r="I208" t="s">
        <v>358</v>
      </c>
    </row>
    <row r="209" spans="1:9" x14ac:dyDescent="0.55000000000000004">
      <c r="A209" t="s">
        <v>6988</v>
      </c>
      <c r="B209" t="s">
        <v>6783</v>
      </c>
      <c r="C209" s="7" t="str">
        <f>HYPERLINK("[#]Feature_Schema_1!A54682:F54682","OVERHEAD_OBSTRUCTION_P")</f>
        <v>OVERHEAD_OBSTRUCTION_P</v>
      </c>
      <c r="D209" t="s">
        <v>6590</v>
      </c>
      <c r="E209" t="s">
        <v>1046</v>
      </c>
      <c r="F209">
        <v>0</v>
      </c>
      <c r="G209" t="s">
        <v>1047</v>
      </c>
      <c r="H209" t="s">
        <v>1048</v>
      </c>
      <c r="I209" t="s">
        <v>1049</v>
      </c>
    </row>
    <row r="210" spans="1:9" x14ac:dyDescent="0.55000000000000004">
      <c r="A210" t="s">
        <v>6988</v>
      </c>
      <c r="B210" t="s">
        <v>6778</v>
      </c>
      <c r="C210" s="7" t="str">
        <f>HYPERLINK("[#]Feature_Schema_1!A54818:F54818","PACK_ICE_S")</f>
        <v>PACK_ICE_S</v>
      </c>
      <c r="D210" t="s">
        <v>6591</v>
      </c>
      <c r="E210" t="s">
        <v>2790</v>
      </c>
      <c r="G210" t="s">
        <v>2791</v>
      </c>
    </row>
    <row r="211" spans="1:9" x14ac:dyDescent="0.55000000000000004">
      <c r="A211" t="s">
        <v>6988</v>
      </c>
      <c r="B211" t="s">
        <v>6769</v>
      </c>
      <c r="C211" s="7" t="str">
        <f>HYPERLINK("[#]Feature_Schema_1!A54853:F54853","PARK_S")</f>
        <v>PARK_S</v>
      </c>
      <c r="D211" t="s">
        <v>6592</v>
      </c>
      <c r="E211" t="s">
        <v>379</v>
      </c>
      <c r="F211">
        <v>0</v>
      </c>
      <c r="G211" t="s">
        <v>380</v>
      </c>
      <c r="H211" t="s">
        <v>381</v>
      </c>
      <c r="I211" t="s">
        <v>382</v>
      </c>
    </row>
    <row r="212" spans="1:9" x14ac:dyDescent="0.55000000000000004">
      <c r="A212" t="s">
        <v>6988</v>
      </c>
      <c r="B212" t="s">
        <v>6783</v>
      </c>
      <c r="C212" s="7" t="str">
        <f>HYPERLINK("[#]Feature_Schema_1!A54929:F54929","PARKING_GARAGE_P")</f>
        <v>PARKING_GARAGE_P</v>
      </c>
      <c r="D212" t="s">
        <v>6593</v>
      </c>
      <c r="E212" t="s">
        <v>1742</v>
      </c>
      <c r="F212">
        <v>0</v>
      </c>
      <c r="G212" t="s">
        <v>1743</v>
      </c>
      <c r="H212" t="s">
        <v>1744</v>
      </c>
      <c r="I212" t="s">
        <v>1745</v>
      </c>
    </row>
    <row r="213" spans="1:9" x14ac:dyDescent="0.55000000000000004">
      <c r="A213" t="s">
        <v>6988</v>
      </c>
      <c r="B213" t="s">
        <v>6827</v>
      </c>
      <c r="C213" s="7" t="str">
        <f>HYPERLINK("[#]Feature_Schema_1!A55280:F55280","PARTICLE_ACCELERATOR_P")</f>
        <v>PARTICLE_ACCELERATOR_P</v>
      </c>
      <c r="D213" t="s">
        <v>6594</v>
      </c>
      <c r="E213" t="s">
        <v>1034</v>
      </c>
      <c r="F213">
        <v>0</v>
      </c>
      <c r="G213" t="s">
        <v>1035</v>
      </c>
      <c r="H213" t="s">
        <v>1036</v>
      </c>
      <c r="I213" t="s">
        <v>1037</v>
      </c>
    </row>
    <row r="214" spans="1:9" x14ac:dyDescent="0.55000000000000004">
      <c r="A214" t="s">
        <v>6988</v>
      </c>
      <c r="B214" t="s">
        <v>6763</v>
      </c>
      <c r="C214" s="7" t="str">
        <f>HYPERLINK("[#]Feature_Schema_1!A55390:F55390","PENSTOCK_C")</f>
        <v>PENSTOCK_C</v>
      </c>
      <c r="D214" t="s">
        <v>6595</v>
      </c>
      <c r="E214" t="s">
        <v>2580</v>
      </c>
      <c r="F214">
        <v>0</v>
      </c>
      <c r="G214" t="s">
        <v>2581</v>
      </c>
      <c r="H214" t="s">
        <v>2582</v>
      </c>
      <c r="I214" t="s">
        <v>2583</v>
      </c>
    </row>
    <row r="215" spans="1:9" x14ac:dyDescent="0.55000000000000004">
      <c r="A215" t="s">
        <v>6988</v>
      </c>
      <c r="B215" t="s">
        <v>6751</v>
      </c>
      <c r="C215" s="7" t="str">
        <f>HYPERLINK("[#]Feature_Schema_1!A55450:F55450","PICNIC_SITE_S")</f>
        <v>PICNIC_SITE_S</v>
      </c>
      <c r="D215" t="s">
        <v>6596</v>
      </c>
      <c r="E215" t="s">
        <v>347</v>
      </c>
      <c r="F215">
        <v>0</v>
      </c>
      <c r="G215" t="s">
        <v>348</v>
      </c>
      <c r="H215" t="s">
        <v>349</v>
      </c>
      <c r="I215" t="s">
        <v>350</v>
      </c>
    </row>
    <row r="216" spans="1:9" x14ac:dyDescent="0.55000000000000004">
      <c r="A216" t="s">
        <v>6988</v>
      </c>
      <c r="B216" t="s">
        <v>6788</v>
      </c>
      <c r="C216" s="7" t="str">
        <f>HYPERLINK("[#]Feature_Schema_1!A55815:F55815","PIPELINE_C")</f>
        <v>PIPELINE_C</v>
      </c>
      <c r="D216" t="s">
        <v>6598</v>
      </c>
      <c r="E216" t="s">
        <v>1698</v>
      </c>
      <c r="F216">
        <v>0</v>
      </c>
      <c r="G216" t="s">
        <v>1699</v>
      </c>
      <c r="H216" t="s">
        <v>1700</v>
      </c>
      <c r="I216" t="s">
        <v>1701</v>
      </c>
    </row>
    <row r="217" spans="1:9" x14ac:dyDescent="0.55000000000000004">
      <c r="A217" t="s">
        <v>6988</v>
      </c>
      <c r="B217" t="s">
        <v>6783</v>
      </c>
      <c r="C217" s="7" t="str">
        <f>HYPERLINK("[#]Feature_Schema_1!A56134:F56134","PIPELINE_CROSSING_POINT_P")</f>
        <v>PIPELINE_CROSSING_POINT_P</v>
      </c>
      <c r="D217" t="s">
        <v>6599</v>
      </c>
      <c r="E217" t="s">
        <v>1050</v>
      </c>
      <c r="F217">
        <v>0</v>
      </c>
      <c r="G217" t="s">
        <v>1051</v>
      </c>
      <c r="H217" t="s">
        <v>1052</v>
      </c>
      <c r="I217" t="s">
        <v>1053</v>
      </c>
    </row>
    <row r="218" spans="1:9" x14ac:dyDescent="0.55000000000000004">
      <c r="A218" t="s">
        <v>6988</v>
      </c>
      <c r="B218" t="s">
        <v>6774</v>
      </c>
      <c r="C218" s="7" t="str">
        <f>HYPERLINK("[#]Feature_Schema_1!A56187:F56187","PLANT_NURSERY_S")</f>
        <v>PLANT_NURSERY_S</v>
      </c>
      <c r="D218" t="s">
        <v>6600</v>
      </c>
      <c r="E218" t="s">
        <v>3035</v>
      </c>
      <c r="F218">
        <v>0</v>
      </c>
      <c r="G218" t="s">
        <v>3036</v>
      </c>
      <c r="H218" t="s">
        <v>3037</v>
      </c>
      <c r="I218" t="s">
        <v>3038</v>
      </c>
    </row>
    <row r="219" spans="1:9" x14ac:dyDescent="0.55000000000000004">
      <c r="A219" t="s">
        <v>6988</v>
      </c>
      <c r="B219" t="s">
        <v>6770</v>
      </c>
      <c r="C219" s="7" t="str">
        <f>HYPERLINK("[#]Feature_Schema_1!A56286:F56286","POLAR_ICE_S")</f>
        <v>POLAR_ICE_S</v>
      </c>
      <c r="D219" t="s">
        <v>6601</v>
      </c>
      <c r="E219" t="s">
        <v>2794</v>
      </c>
      <c r="F219">
        <v>0</v>
      </c>
      <c r="G219" t="s">
        <v>2795</v>
      </c>
      <c r="H219" t="s">
        <v>2796</v>
      </c>
      <c r="I219" t="s">
        <v>2797</v>
      </c>
    </row>
    <row r="220" spans="1:9" x14ac:dyDescent="0.55000000000000004">
      <c r="A220" t="s">
        <v>6988</v>
      </c>
      <c r="B220" t="s">
        <v>6803</v>
      </c>
      <c r="C220" s="7" t="str">
        <f>HYPERLINK("[#]Feature_Schema_2!A3:F3","PORT_S")</f>
        <v>PORT_S</v>
      </c>
      <c r="D220" t="s">
        <v>6602</v>
      </c>
      <c r="G220" t="s">
        <v>1923</v>
      </c>
    </row>
    <row r="221" spans="1:9" x14ac:dyDescent="0.55000000000000004">
      <c r="A221" t="s">
        <v>6988</v>
      </c>
      <c r="B221" t="s">
        <v>6746</v>
      </c>
      <c r="C221" s="7" t="str">
        <f>HYPERLINK("[#]Feature_Schema_2!A713:F713","POWER_SUBSTATION_S")</f>
        <v>POWER_SUBSTATION_S</v>
      </c>
      <c r="D221" t="s">
        <v>6603</v>
      </c>
      <c r="E221" t="s">
        <v>145</v>
      </c>
      <c r="F221">
        <v>0</v>
      </c>
      <c r="G221" t="s">
        <v>146</v>
      </c>
      <c r="H221" t="s">
        <v>147</v>
      </c>
      <c r="I221" t="s">
        <v>148</v>
      </c>
    </row>
    <row r="222" spans="1:9" x14ac:dyDescent="0.55000000000000004">
      <c r="A222" t="s">
        <v>6988</v>
      </c>
      <c r="B222" t="s">
        <v>6776</v>
      </c>
      <c r="C222" s="7" t="str">
        <f>HYPERLINK("[#]Feature_Schema_2!A837:F837","PREPARED_WATERCOURSE_CROSS_P")</f>
        <v>PREPARED_WATERCOURSE_CROSS_P</v>
      </c>
      <c r="D222" t="s">
        <v>6604</v>
      </c>
      <c r="E222" t="s">
        <v>1694</v>
      </c>
      <c r="F222">
        <v>0</v>
      </c>
      <c r="G222" t="s">
        <v>1695</v>
      </c>
      <c r="H222" t="s">
        <v>1696</v>
      </c>
      <c r="I222" t="s">
        <v>1697</v>
      </c>
    </row>
    <row r="223" spans="1:9" x14ac:dyDescent="0.55000000000000004">
      <c r="A223" t="s">
        <v>6988</v>
      </c>
      <c r="B223" t="s">
        <v>6751</v>
      </c>
      <c r="C223" s="7" t="str">
        <f>HYPERLINK("[#]Feature_Schema_2!A953:F953","PUBLIC_SQUARE_S")</f>
        <v>PUBLIC_SQUARE_S</v>
      </c>
      <c r="D223" t="s">
        <v>6605</v>
      </c>
      <c r="E223" t="s">
        <v>1054</v>
      </c>
      <c r="F223">
        <v>0</v>
      </c>
      <c r="G223" t="s">
        <v>1055</v>
      </c>
      <c r="H223" t="s">
        <v>1056</v>
      </c>
      <c r="I223" t="s">
        <v>1057</v>
      </c>
    </row>
    <row r="224" spans="1:9" x14ac:dyDescent="0.55000000000000004">
      <c r="A224" t="s">
        <v>6988</v>
      </c>
      <c r="B224" t="s">
        <v>6745</v>
      </c>
      <c r="C224" s="7" t="str">
        <f>HYPERLINK("[#]Feature_Schema_2!A1409:F1409","PUMPING_STATION_P")</f>
        <v>PUMPING_STATION_P</v>
      </c>
      <c r="D224" t="s">
        <v>6608</v>
      </c>
      <c r="E224" t="s">
        <v>1710</v>
      </c>
      <c r="F224">
        <v>0</v>
      </c>
      <c r="G224" t="s">
        <v>1711</v>
      </c>
      <c r="H224" t="s">
        <v>1712</v>
      </c>
      <c r="I224" t="s">
        <v>1713</v>
      </c>
    </row>
    <row r="225" spans="1:9" x14ac:dyDescent="0.55000000000000004">
      <c r="A225" t="s">
        <v>6988</v>
      </c>
      <c r="B225" t="s">
        <v>6745</v>
      </c>
      <c r="C225" s="7" t="str">
        <f>HYPERLINK("[#]Feature_Schema_2!A2033:F2033","PYLON_P")</f>
        <v>PYLON_P</v>
      </c>
      <c r="D225" t="s">
        <v>6609</v>
      </c>
      <c r="E225" t="s">
        <v>1822</v>
      </c>
      <c r="F225">
        <v>0</v>
      </c>
      <c r="G225" t="s">
        <v>1823</v>
      </c>
      <c r="H225" t="s">
        <v>1824</v>
      </c>
      <c r="I225" t="s">
        <v>1825</v>
      </c>
    </row>
    <row r="226" spans="1:9" x14ac:dyDescent="0.55000000000000004">
      <c r="A226" t="s">
        <v>6988</v>
      </c>
      <c r="B226" t="s">
        <v>6792</v>
      </c>
      <c r="C226" s="7" t="str">
        <f>HYPERLINK("[#]Feature_Schema_2!A2174:F2174","QANAT_SHAFT_P")</f>
        <v>QANAT_SHAFT_P</v>
      </c>
      <c r="D226" t="s">
        <v>6610</v>
      </c>
      <c r="E226" t="s">
        <v>2500</v>
      </c>
      <c r="F226">
        <v>0</v>
      </c>
      <c r="G226" t="s">
        <v>2501</v>
      </c>
      <c r="H226" t="s">
        <v>2502</v>
      </c>
      <c r="I226" t="s">
        <v>2503</v>
      </c>
    </row>
    <row r="227" spans="1:9" x14ac:dyDescent="0.55000000000000004">
      <c r="A227" t="s">
        <v>6988</v>
      </c>
      <c r="B227" t="s">
        <v>6751</v>
      </c>
      <c r="C227" s="7" t="str">
        <f>HYPERLINK("[#]Feature_Schema_2!A2342:F2342","RACETRACK_S")</f>
        <v>RACETRACK_S</v>
      </c>
      <c r="D227" t="s">
        <v>6611</v>
      </c>
      <c r="E227" t="s">
        <v>399</v>
      </c>
      <c r="F227">
        <v>0</v>
      </c>
      <c r="G227" t="s">
        <v>400</v>
      </c>
      <c r="H227" t="s">
        <v>401</v>
      </c>
      <c r="I227" t="s">
        <v>402</v>
      </c>
    </row>
    <row r="228" spans="1:9" x14ac:dyDescent="0.55000000000000004">
      <c r="A228" t="s">
        <v>6988</v>
      </c>
      <c r="B228" t="s">
        <v>6806</v>
      </c>
      <c r="C228" s="7" t="str">
        <f>HYPERLINK("[#]Feature_Schema_2!A2411:F2411","RADAR_STATION_P")</f>
        <v>RADAR_STATION_P</v>
      </c>
      <c r="D228" t="s">
        <v>6612</v>
      </c>
      <c r="E228" t="s">
        <v>1826</v>
      </c>
      <c r="F228">
        <v>0</v>
      </c>
      <c r="G228" t="s">
        <v>1827</v>
      </c>
      <c r="H228" t="s">
        <v>1828</v>
      </c>
      <c r="I228" t="s">
        <v>1829</v>
      </c>
    </row>
    <row r="229" spans="1:9" x14ac:dyDescent="0.55000000000000004">
      <c r="A229" t="s">
        <v>6988</v>
      </c>
      <c r="B229" t="s">
        <v>6766</v>
      </c>
      <c r="C229" s="7" t="str">
        <f>HYPERLINK("[#]Feature_Schema_2!A2641:F2641","RAILWAY_C")</f>
        <v>RAILWAY_C</v>
      </c>
      <c r="D229" t="s">
        <v>1305</v>
      </c>
      <c r="E229" t="s">
        <v>1307</v>
      </c>
      <c r="F229">
        <v>0</v>
      </c>
      <c r="G229" t="s">
        <v>1308</v>
      </c>
      <c r="H229" t="s">
        <v>1309</v>
      </c>
      <c r="I229" t="s">
        <v>1306</v>
      </c>
    </row>
    <row r="230" spans="1:9" x14ac:dyDescent="0.55000000000000004">
      <c r="A230" t="s">
        <v>6988</v>
      </c>
      <c r="B230" t="s">
        <v>6766</v>
      </c>
      <c r="C230" s="7" t="str">
        <f>HYPERLINK("[#]Feature_Schema_2!A2808:F2808","RAILWAY_SIDETRACK_C")</f>
        <v>RAILWAY_SIDETRACK_C</v>
      </c>
      <c r="D230" t="s">
        <v>6613</v>
      </c>
      <c r="E230" t="s">
        <v>1352</v>
      </c>
      <c r="F230">
        <v>0</v>
      </c>
      <c r="G230" t="s">
        <v>1353</v>
      </c>
      <c r="H230" t="s">
        <v>1354</v>
      </c>
      <c r="I230" t="s">
        <v>1355</v>
      </c>
    </row>
    <row r="231" spans="1:9" x14ac:dyDescent="0.55000000000000004">
      <c r="A231" t="s">
        <v>6988</v>
      </c>
      <c r="B231" t="s">
        <v>6783</v>
      </c>
      <c r="C231" s="7" t="str">
        <f>HYPERLINK("[#]Feature_Schema_2!A2954:F2954","RAILWAY_SIGNAL_P")</f>
        <v>RAILWAY_SIGNAL_P</v>
      </c>
      <c r="D231" t="s">
        <v>6614</v>
      </c>
      <c r="E231" t="s">
        <v>1375</v>
      </c>
      <c r="F231">
        <v>0</v>
      </c>
      <c r="G231" t="s">
        <v>1376</v>
      </c>
      <c r="H231" t="s">
        <v>1377</v>
      </c>
      <c r="I231" t="s">
        <v>1378</v>
      </c>
    </row>
    <row r="232" spans="1:9" x14ac:dyDescent="0.55000000000000004">
      <c r="A232" t="s">
        <v>6988</v>
      </c>
      <c r="B232" t="s">
        <v>6783</v>
      </c>
      <c r="C232" s="7" t="str">
        <f>HYPERLINK("[#]Feature_Schema_2!A3007:F3007","RAILWAY_TURNTABLE_P")</f>
        <v>RAILWAY_TURNTABLE_P</v>
      </c>
      <c r="D232" t="s">
        <v>6615</v>
      </c>
      <c r="E232" t="s">
        <v>1364</v>
      </c>
      <c r="F232">
        <v>0</v>
      </c>
      <c r="G232" t="s">
        <v>1365</v>
      </c>
      <c r="H232" t="s">
        <v>1366</v>
      </c>
      <c r="I232" t="s">
        <v>1367</v>
      </c>
    </row>
    <row r="233" spans="1:9" x14ac:dyDescent="0.55000000000000004">
      <c r="A233" t="s">
        <v>6988</v>
      </c>
      <c r="B233" t="s">
        <v>6802</v>
      </c>
      <c r="C233" s="7" t="str">
        <f>HYPERLINK("[#]Feature_Schema_2!A3169:F3169","RAILWAY_YARD_P")</f>
        <v>RAILWAY_YARD_P</v>
      </c>
      <c r="D233" t="s">
        <v>6616</v>
      </c>
      <c r="E233" t="s">
        <v>1356</v>
      </c>
      <c r="F233">
        <v>0</v>
      </c>
      <c r="G233" t="s">
        <v>1357</v>
      </c>
      <c r="H233" t="s">
        <v>1358</v>
      </c>
      <c r="I233" t="s">
        <v>1359</v>
      </c>
    </row>
    <row r="234" spans="1:9" x14ac:dyDescent="0.55000000000000004">
      <c r="A234" t="s">
        <v>6988</v>
      </c>
      <c r="B234" t="s">
        <v>6792</v>
      </c>
      <c r="C234" s="7" t="str">
        <f>HYPERLINK("[#]Feature_Schema_2!A3561:F3561","RAPIDS_P")</f>
        <v>RAPIDS_P</v>
      </c>
      <c r="D234" t="s">
        <v>6618</v>
      </c>
      <c r="E234" t="s">
        <v>2588</v>
      </c>
      <c r="F234">
        <v>0</v>
      </c>
      <c r="G234" t="s">
        <v>2589</v>
      </c>
      <c r="H234" t="s">
        <v>2590</v>
      </c>
      <c r="I234" t="s">
        <v>2591</v>
      </c>
    </row>
    <row r="235" spans="1:9" x14ac:dyDescent="0.55000000000000004">
      <c r="A235" t="s">
        <v>6988</v>
      </c>
      <c r="B235" t="s">
        <v>6764</v>
      </c>
      <c r="C235" s="7" t="str">
        <f>HYPERLINK("[#]Feature_Schema_2!A3601:F3601","RAPIDS_S")</f>
        <v>RAPIDS_S</v>
      </c>
      <c r="D235" t="s">
        <v>6618</v>
      </c>
      <c r="E235" t="s">
        <v>2588</v>
      </c>
      <c r="F235">
        <v>0</v>
      </c>
      <c r="G235" t="s">
        <v>2589</v>
      </c>
      <c r="H235" t="s">
        <v>2590</v>
      </c>
      <c r="I235" t="s">
        <v>2591</v>
      </c>
    </row>
    <row r="236" spans="1:9" x14ac:dyDescent="0.55000000000000004">
      <c r="A236" t="s">
        <v>6988</v>
      </c>
      <c r="B236" t="s">
        <v>6744</v>
      </c>
      <c r="C236" s="7" t="str">
        <f>HYPERLINK("[#]Feature_Schema_2!A3641:F3641","RECYCLING_SITE_S")</f>
        <v>RECYCLING_SITE_S</v>
      </c>
      <c r="D236" t="s">
        <v>6619</v>
      </c>
      <c r="E236" t="s">
        <v>45</v>
      </c>
      <c r="F236">
        <v>0</v>
      </c>
      <c r="G236" t="s">
        <v>46</v>
      </c>
      <c r="H236" t="s">
        <v>47</v>
      </c>
      <c r="I236" t="s">
        <v>48</v>
      </c>
    </row>
    <row r="237" spans="1:9" x14ac:dyDescent="0.55000000000000004">
      <c r="A237" t="s">
        <v>6988</v>
      </c>
      <c r="B237" t="s">
        <v>6761</v>
      </c>
      <c r="C237" s="7" t="str">
        <f>HYPERLINK("[#]Feature_Schema_2!A3769:F3769","REEF_S")</f>
        <v>REEF_S</v>
      </c>
      <c r="D237" t="s">
        <v>6620</v>
      </c>
      <c r="E237" t="s">
        <v>2365</v>
      </c>
      <c r="F237">
        <v>0</v>
      </c>
      <c r="G237" t="s">
        <v>2366</v>
      </c>
      <c r="H237" t="s">
        <v>2367</v>
      </c>
      <c r="I237" t="s">
        <v>2368</v>
      </c>
    </row>
    <row r="238" spans="1:9" x14ac:dyDescent="0.55000000000000004">
      <c r="A238" t="s">
        <v>6988</v>
      </c>
      <c r="B238" t="s">
        <v>6774</v>
      </c>
      <c r="C238" s="7" t="str">
        <f>HYPERLINK("[#]Feature_Schema_2!A3968:F3968","RICE_FIELD_S")</f>
        <v>RICE_FIELD_S</v>
      </c>
      <c r="D238" t="s">
        <v>6623</v>
      </c>
      <c r="E238" t="s">
        <v>2596</v>
      </c>
      <c r="F238">
        <v>0</v>
      </c>
      <c r="G238" t="s">
        <v>2597</v>
      </c>
      <c r="H238" t="s">
        <v>2598</v>
      </c>
      <c r="I238" t="s">
        <v>2599</v>
      </c>
    </row>
    <row r="239" spans="1:9" x14ac:dyDescent="0.55000000000000004">
      <c r="A239" t="s">
        <v>6988</v>
      </c>
      <c r="B239" t="s">
        <v>6780</v>
      </c>
      <c r="C239" s="7" t="str">
        <f>HYPERLINK("[#]Feature_Schema_2!A4129:F4129","RIG_P")</f>
        <v>RIG_P</v>
      </c>
      <c r="D239" t="s">
        <v>6624</v>
      </c>
      <c r="E239" t="s">
        <v>21</v>
      </c>
      <c r="F239">
        <v>0</v>
      </c>
      <c r="G239" t="s">
        <v>22</v>
      </c>
      <c r="H239" t="s">
        <v>23</v>
      </c>
      <c r="I239" t="s">
        <v>24</v>
      </c>
    </row>
    <row r="240" spans="1:9" x14ac:dyDescent="0.55000000000000004">
      <c r="A240" t="s">
        <v>6988</v>
      </c>
      <c r="B240" t="s">
        <v>6763</v>
      </c>
      <c r="C240" s="7" t="str">
        <f>HYPERLINK("[#]Feature_Schema_2!A4817:F4817","RIVER_C")</f>
        <v>RIVER_C</v>
      </c>
      <c r="D240" t="s">
        <v>6626</v>
      </c>
      <c r="E240" t="s">
        <v>2600</v>
      </c>
      <c r="F240">
        <v>0</v>
      </c>
      <c r="G240" t="s">
        <v>2601</v>
      </c>
      <c r="H240" t="s">
        <v>2602</v>
      </c>
      <c r="I240" t="s">
        <v>2603</v>
      </c>
    </row>
    <row r="241" spans="1:9" x14ac:dyDescent="0.55000000000000004">
      <c r="A241" t="s">
        <v>6988</v>
      </c>
      <c r="B241" t="s">
        <v>6764</v>
      </c>
      <c r="C241" s="7" t="str">
        <f>HYPERLINK("[#]Feature_Schema_2!A5271:F5271","RIVER_S")</f>
        <v>RIVER_S</v>
      </c>
      <c r="D241" t="s">
        <v>6626</v>
      </c>
      <c r="E241" t="s">
        <v>2600</v>
      </c>
      <c r="F241">
        <v>0</v>
      </c>
      <c r="G241" t="s">
        <v>2601</v>
      </c>
      <c r="H241" t="s">
        <v>2602</v>
      </c>
      <c r="I241" t="s">
        <v>2603</v>
      </c>
    </row>
    <row r="242" spans="1:9" x14ac:dyDescent="0.55000000000000004">
      <c r="A242" t="s">
        <v>6988</v>
      </c>
      <c r="B242" t="s">
        <v>6766</v>
      </c>
      <c r="C242" s="7" t="str">
        <f>HYPERLINK("[#]Feature_Schema_2!A5725:F5725","ROAD_C")</f>
        <v>ROAD_C</v>
      </c>
      <c r="D242" t="s">
        <v>1420</v>
      </c>
      <c r="E242" t="s">
        <v>1422</v>
      </c>
      <c r="F242">
        <v>0</v>
      </c>
      <c r="G242" t="s">
        <v>1423</v>
      </c>
      <c r="H242" t="s">
        <v>1424</v>
      </c>
      <c r="I242" t="s">
        <v>1421</v>
      </c>
    </row>
    <row r="243" spans="1:9" x14ac:dyDescent="0.55000000000000004">
      <c r="A243" t="s">
        <v>6988</v>
      </c>
      <c r="B243" t="s">
        <v>6783</v>
      </c>
      <c r="C243" s="7" t="str">
        <f>HYPERLINK("[#]Feature_Schema_2!A5908:F5908","ROAD_INTERCHANGE_P")</f>
        <v>ROAD_INTERCHANGE_P</v>
      </c>
      <c r="D243" t="s">
        <v>1383</v>
      </c>
      <c r="E243" t="s">
        <v>1385</v>
      </c>
      <c r="F243">
        <v>0</v>
      </c>
      <c r="G243" t="s">
        <v>1386</v>
      </c>
      <c r="H243" t="s">
        <v>1387</v>
      </c>
      <c r="I243" t="s">
        <v>1384</v>
      </c>
    </row>
    <row r="244" spans="1:9" x14ac:dyDescent="0.55000000000000004">
      <c r="A244" t="s">
        <v>6988</v>
      </c>
      <c r="B244" t="s">
        <v>6783</v>
      </c>
      <c r="C244" s="7" t="str">
        <f>HYPERLINK("[#]Feature_Schema_2!A6186:F6186","ROADSIDE_REST_AREA_P")</f>
        <v>ROADSIDE_REST_AREA_P</v>
      </c>
      <c r="D244" t="s">
        <v>6627</v>
      </c>
      <c r="E244" t="s">
        <v>1734</v>
      </c>
      <c r="F244">
        <v>0</v>
      </c>
      <c r="G244" t="s">
        <v>1735</v>
      </c>
      <c r="H244" t="s">
        <v>1736</v>
      </c>
      <c r="I244" t="s">
        <v>1737</v>
      </c>
    </row>
    <row r="245" spans="1:9" x14ac:dyDescent="0.55000000000000004">
      <c r="A245" t="s">
        <v>6988</v>
      </c>
      <c r="B245" t="s">
        <v>6791</v>
      </c>
      <c r="C245" s="7" t="str">
        <f>HYPERLINK("[#]Feature_Schema_2!A6432:F6432","ROCK_FORMATION_P")</f>
        <v>ROCK_FORMATION_P</v>
      </c>
      <c r="D245" t="s">
        <v>6628</v>
      </c>
      <c r="E245" t="s">
        <v>2958</v>
      </c>
      <c r="F245">
        <v>0</v>
      </c>
      <c r="G245" t="s">
        <v>2959</v>
      </c>
      <c r="H245" t="s">
        <v>2960</v>
      </c>
      <c r="I245" t="s">
        <v>2961</v>
      </c>
    </row>
    <row r="246" spans="1:9" x14ac:dyDescent="0.55000000000000004">
      <c r="A246" t="s">
        <v>6988</v>
      </c>
      <c r="B246" t="s">
        <v>6783</v>
      </c>
      <c r="C246" s="7" t="str">
        <f>HYPERLINK("[#]Feature_Schema_2!A6532:F6532","ROUNDHOUSE_P")</f>
        <v>ROUNDHOUSE_P</v>
      </c>
      <c r="D246" t="s">
        <v>6629</v>
      </c>
      <c r="E246" t="s">
        <v>1368</v>
      </c>
      <c r="F246">
        <v>0</v>
      </c>
      <c r="G246" t="s">
        <v>558</v>
      </c>
      <c r="H246" t="s">
        <v>1369</v>
      </c>
      <c r="I246" t="s">
        <v>1370</v>
      </c>
    </row>
    <row r="247" spans="1:9" x14ac:dyDescent="0.55000000000000004">
      <c r="A247" t="s">
        <v>6988</v>
      </c>
      <c r="B247" t="s">
        <v>6768</v>
      </c>
      <c r="C247" s="7" t="str">
        <f>HYPERLINK("[#]Feature_Schema_2!A6898:F6898","RUINS_P")</f>
        <v>RUINS_P</v>
      </c>
      <c r="D247" t="s">
        <v>6630</v>
      </c>
      <c r="E247" t="s">
        <v>1070</v>
      </c>
      <c r="F247">
        <v>0</v>
      </c>
      <c r="G247" t="s">
        <v>1071</v>
      </c>
      <c r="H247" t="s">
        <v>1072</v>
      </c>
      <c r="I247" t="s">
        <v>1073</v>
      </c>
    </row>
    <row r="248" spans="1:9" x14ac:dyDescent="0.55000000000000004">
      <c r="A248" t="s">
        <v>6988</v>
      </c>
      <c r="B248" t="s">
        <v>6749</v>
      </c>
      <c r="C248" s="7" t="str">
        <f>HYPERLINK("[#]Feature_Schema_2!A6994:F6994","RUNWAY_S")</f>
        <v>RUNWAY_S</v>
      </c>
      <c r="D248" t="s">
        <v>6631</v>
      </c>
      <c r="E248" t="s">
        <v>3786</v>
      </c>
      <c r="F248">
        <v>0</v>
      </c>
      <c r="G248" t="s">
        <v>3787</v>
      </c>
      <c r="H248" t="s">
        <v>3788</v>
      </c>
      <c r="I248" t="s">
        <v>3789</v>
      </c>
    </row>
    <row r="249" spans="1:9" x14ac:dyDescent="0.55000000000000004">
      <c r="A249" t="s">
        <v>6988</v>
      </c>
      <c r="B249" t="s">
        <v>6770</v>
      </c>
      <c r="C249" s="7" t="str">
        <f>HYPERLINK("[#]Feature_Schema_2!A7243:F7243","SABKHA_S")</f>
        <v>SABKHA_S</v>
      </c>
      <c r="D249" t="s">
        <v>6633</v>
      </c>
      <c r="E249" t="s">
        <v>2620</v>
      </c>
      <c r="F249">
        <v>0</v>
      </c>
      <c r="G249" t="s">
        <v>2621</v>
      </c>
      <c r="H249" t="s">
        <v>2622</v>
      </c>
      <c r="I249" t="s">
        <v>2623</v>
      </c>
    </row>
    <row r="250" spans="1:9" x14ac:dyDescent="0.55000000000000004">
      <c r="A250" t="s">
        <v>6988</v>
      </c>
      <c r="B250" t="s">
        <v>6744</v>
      </c>
      <c r="C250" s="7" t="str">
        <f>HYPERLINK("[#]Feature_Schema_2!A7339:F7339","SALT_EVAPORATOR_S")</f>
        <v>SALT_EVAPORATOR_S</v>
      </c>
      <c r="D250" t="s">
        <v>6634</v>
      </c>
      <c r="E250" t="s">
        <v>2616</v>
      </c>
      <c r="F250">
        <v>0</v>
      </c>
      <c r="G250" t="s">
        <v>2617</v>
      </c>
      <c r="H250" t="s">
        <v>2618</v>
      </c>
      <c r="I250" t="s">
        <v>2619</v>
      </c>
    </row>
    <row r="251" spans="1:9" x14ac:dyDescent="0.55000000000000004">
      <c r="A251" t="s">
        <v>6988</v>
      </c>
      <c r="B251" t="s">
        <v>6770</v>
      </c>
      <c r="C251" s="7" t="str">
        <f>HYPERLINK("[#]Feature_Schema_2!A7396:F7396","SALT_FLAT_S")</f>
        <v>SALT_FLAT_S</v>
      </c>
      <c r="D251" t="s">
        <v>6635</v>
      </c>
      <c r="E251" t="s">
        <v>2612</v>
      </c>
      <c r="F251">
        <v>0</v>
      </c>
      <c r="G251" t="s">
        <v>2613</v>
      </c>
      <c r="H251" t="s">
        <v>2614</v>
      </c>
      <c r="I251" t="s">
        <v>2615</v>
      </c>
    </row>
    <row r="252" spans="1:9" x14ac:dyDescent="0.55000000000000004">
      <c r="A252" t="s">
        <v>6988</v>
      </c>
      <c r="B252" t="s">
        <v>6770</v>
      </c>
      <c r="C252" s="7" t="str">
        <f>HYPERLINK("[#]Feature_Schema_2!A7451:F7451","SAND_DUNES_S")</f>
        <v>SAND_DUNES_S</v>
      </c>
      <c r="D252" t="s">
        <v>6636</v>
      </c>
      <c r="E252" t="s">
        <v>2966</v>
      </c>
      <c r="F252">
        <v>0</v>
      </c>
      <c r="G252" t="s">
        <v>2967</v>
      </c>
      <c r="H252" t="s">
        <v>2968</v>
      </c>
      <c r="I252" t="s">
        <v>2969</v>
      </c>
    </row>
    <row r="253" spans="1:9" x14ac:dyDescent="0.55000000000000004">
      <c r="A253" t="s">
        <v>6988</v>
      </c>
      <c r="B253" t="s">
        <v>6750</v>
      </c>
      <c r="C253" s="7" t="str">
        <f>HYPERLINK("[#]Feature_Schema_2!A7504:F7504","SCOREBOARD_P")</f>
        <v>SCOREBOARD_P</v>
      </c>
      <c r="D253" t="s">
        <v>6637</v>
      </c>
      <c r="E253" t="s">
        <v>423</v>
      </c>
      <c r="F253">
        <v>0</v>
      </c>
      <c r="G253" t="s">
        <v>424</v>
      </c>
      <c r="H253" t="s">
        <v>425</v>
      </c>
      <c r="I253" t="s">
        <v>426</v>
      </c>
    </row>
    <row r="254" spans="1:9" x14ac:dyDescent="0.55000000000000004">
      <c r="A254" t="s">
        <v>6988</v>
      </c>
      <c r="B254" t="s">
        <v>6749</v>
      </c>
      <c r="C254" s="7" t="str">
        <f>HYPERLINK("[#]Feature_Schema_2!A7573:F7573","SEAPLANE_RUN_S")</f>
        <v>SEAPLANE_RUN_S</v>
      </c>
      <c r="D254" t="s">
        <v>6638</v>
      </c>
      <c r="E254" t="s">
        <v>3814</v>
      </c>
      <c r="F254">
        <v>0</v>
      </c>
      <c r="G254" t="s">
        <v>3815</v>
      </c>
      <c r="H254" t="s">
        <v>3816</v>
      </c>
      <c r="I254" t="s">
        <v>3817</v>
      </c>
    </row>
    <row r="255" spans="1:9" x14ac:dyDescent="0.55000000000000004">
      <c r="A255" t="s">
        <v>6988</v>
      </c>
      <c r="B255" t="s">
        <v>6786</v>
      </c>
      <c r="C255" s="7" t="str">
        <f>HYPERLINK("[#]Feature_Schema_2!A7729:F7729","SETTLEMENT_S")</f>
        <v>SETTLEMENT_S</v>
      </c>
      <c r="D255" t="s">
        <v>6639</v>
      </c>
      <c r="E255" t="s">
        <v>958</v>
      </c>
      <c r="F255">
        <v>0</v>
      </c>
      <c r="G255" t="s">
        <v>959</v>
      </c>
      <c r="H255" t="s">
        <v>960</v>
      </c>
      <c r="I255" t="s">
        <v>961</v>
      </c>
    </row>
    <row r="256" spans="1:9" x14ac:dyDescent="0.55000000000000004">
      <c r="A256" t="s">
        <v>6988</v>
      </c>
      <c r="B256" t="s">
        <v>6744</v>
      </c>
      <c r="C256" s="7" t="str">
        <f>HYPERLINK("[#]Feature_Schema_2!A7823:F7823","SETTLING_POND_S")</f>
        <v>SETTLING_POND_S</v>
      </c>
      <c r="D256" t="s">
        <v>6640</v>
      </c>
      <c r="E256" t="s">
        <v>84</v>
      </c>
      <c r="F256">
        <v>0</v>
      </c>
      <c r="G256" t="s">
        <v>85</v>
      </c>
      <c r="H256" t="s">
        <v>86</v>
      </c>
      <c r="I256" t="s">
        <v>87</v>
      </c>
    </row>
    <row r="257" spans="1:9" x14ac:dyDescent="0.55000000000000004">
      <c r="A257" t="s">
        <v>6988</v>
      </c>
      <c r="B257" t="s">
        <v>6745</v>
      </c>
      <c r="C257" s="7" t="str">
        <f>HYPERLINK("[#]Feature_Schema_2!A7884:F7884","SEWAGE_TREATMENT_PLANT_P")</f>
        <v>SEWAGE_TREATMENT_PLANT_P</v>
      </c>
      <c r="D257" t="s">
        <v>6641</v>
      </c>
      <c r="E257" t="s">
        <v>104</v>
      </c>
      <c r="F257">
        <v>0</v>
      </c>
      <c r="G257" t="s">
        <v>105</v>
      </c>
      <c r="H257" t="s">
        <v>106</v>
      </c>
      <c r="I257" t="s">
        <v>107</v>
      </c>
    </row>
    <row r="258" spans="1:9" x14ac:dyDescent="0.55000000000000004">
      <c r="A258" t="s">
        <v>6988</v>
      </c>
      <c r="B258" t="s">
        <v>6786</v>
      </c>
      <c r="C258" s="7" t="str">
        <f>HYPERLINK("[#]Feature_Schema_2!A8705:F8705","SHANTY_TOWN_S")</f>
        <v>SHANTY_TOWN_S</v>
      </c>
      <c r="D258" t="s">
        <v>6642</v>
      </c>
      <c r="E258" t="s">
        <v>1078</v>
      </c>
      <c r="F258">
        <v>0</v>
      </c>
      <c r="G258" t="s">
        <v>1079</v>
      </c>
      <c r="H258" t="s">
        <v>1080</v>
      </c>
      <c r="I258" t="s">
        <v>1081</v>
      </c>
    </row>
    <row r="259" spans="1:9" x14ac:dyDescent="0.55000000000000004">
      <c r="A259" t="s">
        <v>6988</v>
      </c>
      <c r="B259" t="s">
        <v>6783</v>
      </c>
      <c r="C259" s="7" t="str">
        <f>HYPERLINK("[#]Feature_Schema_2!A8762:F8762","SHARP_CURVE_P")</f>
        <v>SHARP_CURVE_P</v>
      </c>
      <c r="D259" t="s">
        <v>6643</v>
      </c>
      <c r="E259" t="s">
        <v>1714</v>
      </c>
      <c r="F259">
        <v>0</v>
      </c>
      <c r="G259" t="s">
        <v>1715</v>
      </c>
      <c r="H259" t="s">
        <v>1716</v>
      </c>
      <c r="I259" t="s">
        <v>1717</v>
      </c>
    </row>
    <row r="260" spans="1:9" x14ac:dyDescent="0.55000000000000004">
      <c r="A260" t="s">
        <v>6988</v>
      </c>
      <c r="B260" t="s">
        <v>6794</v>
      </c>
      <c r="C260" s="7" t="str">
        <f>HYPERLINK("[#]Feature_Schema_2!A8796:F8796","SHEAR_WALL_C")</f>
        <v>SHEAR_WALL_C</v>
      </c>
      <c r="D260" t="s">
        <v>6644</v>
      </c>
      <c r="E260" t="s">
        <v>9</v>
      </c>
      <c r="F260">
        <v>0</v>
      </c>
      <c r="G260" t="s">
        <v>10</v>
      </c>
      <c r="H260" t="s">
        <v>11</v>
      </c>
      <c r="I260" t="s">
        <v>12</v>
      </c>
    </row>
    <row r="261" spans="1:9" x14ac:dyDescent="0.55000000000000004">
      <c r="A261" t="s">
        <v>6988</v>
      </c>
      <c r="B261" t="s">
        <v>6771</v>
      </c>
      <c r="C261" s="7" t="str">
        <f>HYPERLINK("[#]Feature_Schema_2!A8835:F8835","SHED_P")</f>
        <v>SHED_P</v>
      </c>
      <c r="D261" t="s">
        <v>6645</v>
      </c>
      <c r="E261" t="s">
        <v>872</v>
      </c>
      <c r="F261">
        <v>98</v>
      </c>
      <c r="G261" t="s">
        <v>741</v>
      </c>
      <c r="H261" t="s">
        <v>873</v>
      </c>
      <c r="I261" t="s">
        <v>874</v>
      </c>
    </row>
    <row r="262" spans="1:9" x14ac:dyDescent="0.55000000000000004">
      <c r="A262" t="s">
        <v>6988</v>
      </c>
      <c r="B262" t="s">
        <v>6776</v>
      </c>
      <c r="C262" s="7" t="str">
        <f>HYPERLINK("[#]Feature_Schema_2!A10172:F10172","SHIP_ELEVATOR_P")</f>
        <v>SHIP_ELEVATOR_P</v>
      </c>
      <c r="D262" t="s">
        <v>6646</v>
      </c>
      <c r="E262" t="s">
        <v>2695</v>
      </c>
      <c r="F262">
        <v>0</v>
      </c>
      <c r="G262" t="s">
        <v>2696</v>
      </c>
      <c r="H262" t="s">
        <v>2697</v>
      </c>
      <c r="I262" t="s">
        <v>2698</v>
      </c>
    </row>
    <row r="263" spans="1:9" x14ac:dyDescent="0.55000000000000004">
      <c r="A263" t="s">
        <v>6988</v>
      </c>
      <c r="B263" t="s">
        <v>6810</v>
      </c>
      <c r="C263" s="7" t="str">
        <f>HYPERLINK("[#]Feature_Schema_2!A10366:F10366","SHIPPING_CONTAINER_P")</f>
        <v>SHIPPING_CONTAINER_P</v>
      </c>
      <c r="D263" t="s">
        <v>6647</v>
      </c>
      <c r="E263" t="s">
        <v>1190</v>
      </c>
      <c r="F263">
        <v>0</v>
      </c>
      <c r="G263" t="s">
        <v>1191</v>
      </c>
      <c r="H263" t="s">
        <v>1192</v>
      </c>
      <c r="I263" t="s">
        <v>1193</v>
      </c>
    </row>
    <row r="264" spans="1:9" x14ac:dyDescent="0.55000000000000004">
      <c r="A264" t="s">
        <v>6988</v>
      </c>
      <c r="B264" t="s">
        <v>6829</v>
      </c>
      <c r="C264" s="7" t="str">
        <f>HYPERLINK("[#]Feature_Schema_2!A10716:F10716","SHIPYARD_P")</f>
        <v>SHIPYARD_P</v>
      </c>
      <c r="D264" t="s">
        <v>6648</v>
      </c>
      <c r="E264" t="s">
        <v>2132</v>
      </c>
      <c r="F264">
        <v>0</v>
      </c>
      <c r="G264" t="s">
        <v>777</v>
      </c>
      <c r="H264" t="s">
        <v>2133</v>
      </c>
      <c r="I264" t="s">
        <v>2134</v>
      </c>
    </row>
    <row r="265" spans="1:9" x14ac:dyDescent="0.55000000000000004">
      <c r="A265" t="s">
        <v>6988</v>
      </c>
      <c r="B265" t="s">
        <v>6803</v>
      </c>
      <c r="C265" s="7" t="str">
        <f>HYPERLINK("[#]Feature_Schema_2!A10836:F10836","SHIPYARD_S")</f>
        <v>SHIPYARD_S</v>
      </c>
      <c r="D265" t="s">
        <v>6648</v>
      </c>
      <c r="E265" t="s">
        <v>2132</v>
      </c>
      <c r="F265">
        <v>0</v>
      </c>
      <c r="G265" t="s">
        <v>777</v>
      </c>
      <c r="H265" t="s">
        <v>2133</v>
      </c>
      <c r="I265" t="s">
        <v>2134</v>
      </c>
    </row>
    <row r="266" spans="1:9" x14ac:dyDescent="0.55000000000000004">
      <c r="A266" t="s">
        <v>6988</v>
      </c>
      <c r="B266" t="s">
        <v>6807</v>
      </c>
      <c r="C266" s="7" t="str">
        <f>HYPERLINK("[#]Feature_Schema_2!A10956:F10956","SHOPPING_COMPLEX_S")</f>
        <v>SHOPPING_COMPLEX_S</v>
      </c>
      <c r="D266" t="s">
        <v>6649</v>
      </c>
      <c r="E266" t="s">
        <v>213</v>
      </c>
      <c r="F266">
        <v>0</v>
      </c>
      <c r="G266" t="s">
        <v>214</v>
      </c>
      <c r="H266" t="s">
        <v>215</v>
      </c>
      <c r="I266" t="s">
        <v>216</v>
      </c>
    </row>
    <row r="267" spans="1:9" x14ac:dyDescent="0.55000000000000004">
      <c r="A267" t="s">
        <v>6988</v>
      </c>
      <c r="B267" t="s">
        <v>6777</v>
      </c>
      <c r="C267" s="7" t="str">
        <f>HYPERLINK("[#]Feature_Schema_2!A11248:F11248","SHORELINE_C")</f>
        <v>SHORELINE_C</v>
      </c>
      <c r="D267" t="s">
        <v>6650</v>
      </c>
      <c r="E267" t="s">
        <v>1875</v>
      </c>
      <c r="F267">
        <v>0</v>
      </c>
      <c r="G267" t="s">
        <v>1876</v>
      </c>
      <c r="H267" t="s">
        <v>1877</v>
      </c>
      <c r="I267" t="s">
        <v>1878</v>
      </c>
    </row>
    <row r="268" spans="1:9" x14ac:dyDescent="0.55000000000000004">
      <c r="A268" t="s">
        <v>6988</v>
      </c>
      <c r="B268" t="s">
        <v>6766</v>
      </c>
      <c r="C268" s="7" t="str">
        <f>HYPERLINK("[#]Feature_Schema_2!A11853:F11853","SIDEWALK_C")</f>
        <v>SIDEWALK_C</v>
      </c>
      <c r="D268" t="s">
        <v>6653</v>
      </c>
      <c r="E268" t="s">
        <v>1522</v>
      </c>
      <c r="F268">
        <v>0</v>
      </c>
      <c r="G268" t="s">
        <v>1523</v>
      </c>
      <c r="H268" t="s">
        <v>1524</v>
      </c>
      <c r="I268" t="s">
        <v>1525</v>
      </c>
    </row>
    <row r="269" spans="1:9" x14ac:dyDescent="0.55000000000000004">
      <c r="A269" t="s">
        <v>6988</v>
      </c>
      <c r="B269" t="s">
        <v>6750</v>
      </c>
      <c r="C269" s="7" t="str">
        <f>HYPERLINK("[#]Feature_Schema_2!A12017:F12017","SKI_JUMP_P")</f>
        <v>SKI_JUMP_P</v>
      </c>
      <c r="D269" t="s">
        <v>6654</v>
      </c>
      <c r="E269" t="s">
        <v>411</v>
      </c>
      <c r="F269">
        <v>0</v>
      </c>
      <c r="G269" t="s">
        <v>412</v>
      </c>
      <c r="H269" t="s">
        <v>413</v>
      </c>
      <c r="I269" t="s">
        <v>414</v>
      </c>
    </row>
    <row r="270" spans="1:9" x14ac:dyDescent="0.55000000000000004">
      <c r="A270" t="s">
        <v>6988</v>
      </c>
      <c r="B270" t="s">
        <v>6751</v>
      </c>
      <c r="C270" s="7" t="str">
        <f>HYPERLINK("[#]Feature_Schema_2!A12143:F12143","SKI_RUN_S")</f>
        <v>SKI_RUN_S</v>
      </c>
      <c r="D270" t="s">
        <v>6655</v>
      </c>
      <c r="E270" t="s">
        <v>415</v>
      </c>
      <c r="F270">
        <v>0</v>
      </c>
      <c r="G270" t="s">
        <v>416</v>
      </c>
      <c r="H270" t="s">
        <v>417</v>
      </c>
      <c r="I270" t="s">
        <v>418</v>
      </c>
    </row>
    <row r="271" spans="1:9" x14ac:dyDescent="0.55000000000000004">
      <c r="A271" t="s">
        <v>6988</v>
      </c>
      <c r="B271" t="s">
        <v>6778</v>
      </c>
      <c r="C271" s="7" t="str">
        <f>HYPERLINK("[#]Feature_Schema_2!A12200:F12200","SLOPE_REGION_S")</f>
        <v>SLOPE_REGION_S</v>
      </c>
      <c r="D271" t="s">
        <v>6656</v>
      </c>
      <c r="E271" t="s">
        <v>4321</v>
      </c>
      <c r="F271">
        <v>0</v>
      </c>
      <c r="G271" t="s">
        <v>4322</v>
      </c>
      <c r="H271" t="s">
        <v>4323</v>
      </c>
      <c r="I271" t="s">
        <v>4324</v>
      </c>
    </row>
    <row r="272" spans="1:9" x14ac:dyDescent="0.55000000000000004">
      <c r="A272" t="s">
        <v>6988</v>
      </c>
      <c r="B272" t="s">
        <v>6763</v>
      </c>
      <c r="C272" s="7" t="str">
        <f>HYPERLINK("[#]Feature_Schema_2!A12234:F12234","SLUICE_GATE_C")</f>
        <v>SLUICE_GATE_C</v>
      </c>
      <c r="D272" t="s">
        <v>6657</v>
      </c>
      <c r="E272" t="s">
        <v>2727</v>
      </c>
      <c r="F272">
        <v>0</v>
      </c>
      <c r="G272" t="s">
        <v>2728</v>
      </c>
      <c r="H272" t="s">
        <v>2729</v>
      </c>
      <c r="I272" t="s">
        <v>2730</v>
      </c>
    </row>
    <row r="273" spans="1:9" x14ac:dyDescent="0.55000000000000004">
      <c r="A273" t="s">
        <v>6988</v>
      </c>
      <c r="B273" t="s">
        <v>6792</v>
      </c>
      <c r="C273" s="7" t="str">
        <f>HYPERLINK("[#]Feature_Schema_2!A12315:F12315","SLUICE_GATE_P")</f>
        <v>SLUICE_GATE_P</v>
      </c>
      <c r="D273" t="s">
        <v>6657</v>
      </c>
      <c r="E273" t="s">
        <v>2727</v>
      </c>
      <c r="F273">
        <v>0</v>
      </c>
      <c r="G273" t="s">
        <v>2728</v>
      </c>
      <c r="H273" t="s">
        <v>2729</v>
      </c>
      <c r="I273" t="s">
        <v>2730</v>
      </c>
    </row>
    <row r="274" spans="1:9" x14ac:dyDescent="0.55000000000000004">
      <c r="A274" t="s">
        <v>6988</v>
      </c>
      <c r="B274" t="s">
        <v>6829</v>
      </c>
      <c r="C274" s="7" t="str">
        <f>HYPERLINK("[#]Feature_Schema_2!A12396:F12396","SMALL_CRAFT_FACILITY_P")</f>
        <v>SMALL_CRAFT_FACILITY_P</v>
      </c>
      <c r="D274" t="s">
        <v>6658</v>
      </c>
      <c r="E274" t="s">
        <v>2101</v>
      </c>
      <c r="F274">
        <v>0</v>
      </c>
      <c r="G274" t="s">
        <v>2102</v>
      </c>
      <c r="H274" t="s">
        <v>2103</v>
      </c>
      <c r="I274" t="s">
        <v>2104</v>
      </c>
    </row>
    <row r="275" spans="1:9" x14ac:dyDescent="0.55000000000000004">
      <c r="A275" t="s">
        <v>6988</v>
      </c>
      <c r="B275" t="s">
        <v>6745</v>
      </c>
      <c r="C275" s="7" t="str">
        <f>HYPERLINK("[#]Feature_Schema_2!A12668:F12668","SMOKESTACK_P")</f>
        <v>SMOKESTACK_P</v>
      </c>
      <c r="D275" t="s">
        <v>6659</v>
      </c>
      <c r="E275" t="s">
        <v>173</v>
      </c>
      <c r="F275">
        <v>0</v>
      </c>
      <c r="G275" t="s">
        <v>174</v>
      </c>
      <c r="H275" t="s">
        <v>175</v>
      </c>
      <c r="I275" t="s">
        <v>176</v>
      </c>
    </row>
    <row r="276" spans="1:9" x14ac:dyDescent="0.55000000000000004">
      <c r="A276" t="s">
        <v>6988</v>
      </c>
      <c r="B276" t="s">
        <v>6792</v>
      </c>
      <c r="C276" s="7" t="str">
        <f>HYPERLINK("[#]Feature_Schema_2!A12769:F12769","SNAG_P")</f>
        <v>SNAG_P</v>
      </c>
      <c r="D276" t="s">
        <v>6660</v>
      </c>
      <c r="E276" t="s">
        <v>2389</v>
      </c>
      <c r="F276">
        <v>0</v>
      </c>
      <c r="G276" t="s">
        <v>2390</v>
      </c>
      <c r="H276" t="s">
        <v>2391</v>
      </c>
      <c r="I276" t="s">
        <v>2392</v>
      </c>
    </row>
    <row r="277" spans="1:9" x14ac:dyDescent="0.55000000000000004">
      <c r="A277" t="s">
        <v>6988</v>
      </c>
      <c r="B277" t="s">
        <v>6770</v>
      </c>
      <c r="C277" s="7" t="str">
        <f>HYPERLINK("[#]Feature_Schema_2!A12845:F12845","SNOW_ICE_FIELD_S")</f>
        <v>SNOW_ICE_FIELD_S</v>
      </c>
      <c r="D277" t="s">
        <v>6661</v>
      </c>
      <c r="E277" t="s">
        <v>2802</v>
      </c>
      <c r="F277">
        <v>0</v>
      </c>
      <c r="G277" t="s">
        <v>2803</v>
      </c>
      <c r="H277" t="s">
        <v>2804</v>
      </c>
      <c r="I277" t="s">
        <v>2805</v>
      </c>
    </row>
    <row r="278" spans="1:9" x14ac:dyDescent="0.55000000000000004">
      <c r="A278" t="s">
        <v>6988</v>
      </c>
      <c r="B278" t="s">
        <v>6770</v>
      </c>
      <c r="C278" s="7" t="str">
        <f>HYPERLINK("[#]Feature_Schema_2!A12914:F12914","SOIL_SURFACE_REGION_S")</f>
        <v>SOIL_SURFACE_REGION_S</v>
      </c>
      <c r="D278" t="s">
        <v>6662</v>
      </c>
      <c r="E278" t="s">
        <v>2876</v>
      </c>
      <c r="F278">
        <v>0</v>
      </c>
      <c r="G278" t="s">
        <v>2877</v>
      </c>
      <c r="H278" t="s">
        <v>2878</v>
      </c>
      <c r="I278" t="s">
        <v>2879</v>
      </c>
    </row>
    <row r="279" spans="1:9" x14ac:dyDescent="0.55000000000000004">
      <c r="A279" t="s">
        <v>6988</v>
      </c>
      <c r="B279" t="s">
        <v>6746</v>
      </c>
      <c r="C279" s="7" t="str">
        <f>HYPERLINK("[#]Feature_Schema_2!A13196:F13196","SOLAR_FARM_S")</f>
        <v>SOLAR_FARM_S</v>
      </c>
      <c r="D279" t="s">
        <v>6663</v>
      </c>
      <c r="E279" t="s">
        <v>141</v>
      </c>
      <c r="F279">
        <v>0</v>
      </c>
      <c r="G279" t="s">
        <v>142</v>
      </c>
      <c r="H279" t="s">
        <v>143</v>
      </c>
      <c r="I279" t="s">
        <v>144</v>
      </c>
    </row>
    <row r="280" spans="1:9" x14ac:dyDescent="0.55000000000000004">
      <c r="A280" t="s">
        <v>6988</v>
      </c>
      <c r="B280" t="s">
        <v>6745</v>
      </c>
      <c r="C280" s="7" t="str">
        <f>HYPERLINK("[#]Feature_Schema_2!A13308:F13308","SOLAR_PANEL_P")</f>
        <v>SOLAR_PANEL_P</v>
      </c>
      <c r="D280" t="s">
        <v>6664</v>
      </c>
      <c r="E280" t="s">
        <v>137</v>
      </c>
      <c r="F280">
        <v>0</v>
      </c>
      <c r="G280" t="s">
        <v>138</v>
      </c>
      <c r="H280" t="s">
        <v>139</v>
      </c>
      <c r="I280" t="s">
        <v>140</v>
      </c>
    </row>
    <row r="281" spans="1:9" x14ac:dyDescent="0.55000000000000004">
      <c r="A281" t="s">
        <v>6988</v>
      </c>
      <c r="B281" t="s">
        <v>6760</v>
      </c>
      <c r="C281" s="7" t="str">
        <f>HYPERLINK("[#]Feature_Schema_2!A13454:F13454","SOUNDING_P")</f>
        <v>SOUNDING_P</v>
      </c>
      <c r="D281" t="s">
        <v>6665</v>
      </c>
      <c r="E281" t="s">
        <v>2417</v>
      </c>
      <c r="F281">
        <v>0</v>
      </c>
      <c r="G281" t="s">
        <v>2418</v>
      </c>
      <c r="H281" t="s">
        <v>2419</v>
      </c>
      <c r="I281" t="s">
        <v>2420</v>
      </c>
    </row>
    <row r="282" spans="1:9" x14ac:dyDescent="0.55000000000000004">
      <c r="A282" t="s">
        <v>6988</v>
      </c>
      <c r="B282" t="s">
        <v>6749</v>
      </c>
      <c r="C282" s="7" t="str">
        <f>HYPERLINK("[#]Feature_Schema_2!A13700:F13700","SPACE_FACILITY_S")</f>
        <v>SPACE_FACILITY_S</v>
      </c>
      <c r="D282" t="s">
        <v>6666</v>
      </c>
      <c r="E282" t="s">
        <v>1171</v>
      </c>
      <c r="F282">
        <v>0</v>
      </c>
      <c r="G282" t="s">
        <v>1172</v>
      </c>
      <c r="H282" t="s">
        <v>1173</v>
      </c>
      <c r="I282" t="s">
        <v>1174</v>
      </c>
    </row>
    <row r="283" spans="1:9" x14ac:dyDescent="0.55000000000000004">
      <c r="A283" t="s">
        <v>6988</v>
      </c>
      <c r="B283" t="s">
        <v>6763</v>
      </c>
      <c r="C283" s="7" t="str">
        <f>HYPERLINK("[#]Feature_Schema_2!A13803:F13803","SPILLWAY_C")</f>
        <v>SPILLWAY_C</v>
      </c>
      <c r="D283" t="s">
        <v>6667</v>
      </c>
      <c r="E283" t="s">
        <v>2624</v>
      </c>
      <c r="F283">
        <v>0</v>
      </c>
      <c r="G283" t="s">
        <v>2625</v>
      </c>
      <c r="H283" t="s">
        <v>2626</v>
      </c>
      <c r="I283" t="s">
        <v>2627</v>
      </c>
    </row>
    <row r="284" spans="1:9" x14ac:dyDescent="0.55000000000000004">
      <c r="A284" t="s">
        <v>6988</v>
      </c>
      <c r="B284" t="s">
        <v>6751</v>
      </c>
      <c r="C284" s="7" t="str">
        <f>HYPERLINK("[#]Feature_Schema_2!A14038:F14038","SPORTS_GROUND_S")</f>
        <v>SPORTS_GROUND_S</v>
      </c>
      <c r="D284" t="s">
        <v>6668</v>
      </c>
      <c r="E284" t="s">
        <v>331</v>
      </c>
      <c r="F284">
        <v>0</v>
      </c>
      <c r="G284" t="s">
        <v>332</v>
      </c>
      <c r="H284" t="s">
        <v>333</v>
      </c>
      <c r="I284" t="s">
        <v>334</v>
      </c>
    </row>
    <row r="285" spans="1:9" x14ac:dyDescent="0.55000000000000004">
      <c r="A285" t="s">
        <v>6988</v>
      </c>
      <c r="B285" t="s">
        <v>6833</v>
      </c>
      <c r="C285" s="7" t="str">
        <f>HYPERLINK("[#]Feature_Schema_2!A14095:F14095","SPOT_ELEVATION_P")</f>
        <v>SPOT_ELEVATION_P</v>
      </c>
      <c r="D285" t="s">
        <v>6669</v>
      </c>
      <c r="E285" t="s">
        <v>2842</v>
      </c>
      <c r="F285">
        <v>0</v>
      </c>
      <c r="G285" t="s">
        <v>2843</v>
      </c>
      <c r="H285" t="s">
        <v>2844</v>
      </c>
      <c r="I285" t="s">
        <v>2845</v>
      </c>
    </row>
    <row r="286" spans="1:9" x14ac:dyDescent="0.55000000000000004">
      <c r="A286" t="s">
        <v>6988</v>
      </c>
      <c r="B286" t="s">
        <v>6773</v>
      </c>
      <c r="C286" s="7" t="str">
        <f>HYPERLINK("[#]Feature_Schema_2!A14136:F14136","STABLE_P")</f>
        <v>STABLE_P</v>
      </c>
      <c r="D286" t="s">
        <v>6670</v>
      </c>
      <c r="E286" t="s">
        <v>289</v>
      </c>
      <c r="F286">
        <v>0</v>
      </c>
      <c r="G286" t="s">
        <v>290</v>
      </c>
      <c r="H286" t="s">
        <v>291</v>
      </c>
      <c r="I286" t="s">
        <v>292</v>
      </c>
    </row>
    <row r="287" spans="1:9" x14ac:dyDescent="0.55000000000000004">
      <c r="A287" t="s">
        <v>6988</v>
      </c>
      <c r="B287" t="s">
        <v>6750</v>
      </c>
      <c r="C287" s="7" t="str">
        <f>HYPERLINK("[#]Feature_Schema_2!A14480:F14480","STADIUM_P")</f>
        <v>STADIUM_P</v>
      </c>
      <c r="D287" t="s">
        <v>6671</v>
      </c>
      <c r="E287" t="s">
        <v>419</v>
      </c>
      <c r="F287">
        <v>0</v>
      </c>
      <c r="G287" t="s">
        <v>420</v>
      </c>
      <c r="H287" t="s">
        <v>421</v>
      </c>
      <c r="I287" t="s">
        <v>422</v>
      </c>
    </row>
    <row r="288" spans="1:9" x14ac:dyDescent="0.55000000000000004">
      <c r="A288" t="s">
        <v>6988</v>
      </c>
      <c r="B288" t="s">
        <v>6749</v>
      </c>
      <c r="C288" s="7" t="str">
        <f>HYPERLINK("[#]Feature_Schema_2!A15106:F15106","STOPWAY_S")</f>
        <v>STOPWAY_S</v>
      </c>
      <c r="D288" t="s">
        <v>6676</v>
      </c>
      <c r="E288" t="s">
        <v>3774</v>
      </c>
      <c r="F288">
        <v>0</v>
      </c>
      <c r="G288" t="s">
        <v>3775</v>
      </c>
      <c r="H288" t="s">
        <v>3776</v>
      </c>
      <c r="I288" t="s">
        <v>3777</v>
      </c>
    </row>
    <row r="289" spans="1:9" x14ac:dyDescent="0.55000000000000004">
      <c r="A289" t="s">
        <v>6988</v>
      </c>
      <c r="B289" t="s">
        <v>6811</v>
      </c>
      <c r="C289" s="7" t="str">
        <f>HYPERLINK("[#]Feature_Schema_2!A15432:F15432","STORAGE_DEPOT_S")</f>
        <v>STORAGE_DEPOT_S</v>
      </c>
      <c r="D289" t="s">
        <v>6677</v>
      </c>
      <c r="E289" t="s">
        <v>1186</v>
      </c>
      <c r="F289">
        <v>0</v>
      </c>
      <c r="G289" t="s">
        <v>1187</v>
      </c>
      <c r="H289" t="s">
        <v>1188</v>
      </c>
      <c r="I289" t="s">
        <v>1189</v>
      </c>
    </row>
    <row r="290" spans="1:9" x14ac:dyDescent="0.55000000000000004">
      <c r="A290" t="s">
        <v>6988</v>
      </c>
      <c r="B290" t="s">
        <v>6810</v>
      </c>
      <c r="C290" s="7" t="str">
        <f>HYPERLINK("[#]Feature_Schema_2!A15899:F15899","STORAGE_TANK_P")</f>
        <v>STORAGE_TANK_P</v>
      </c>
      <c r="D290" t="s">
        <v>6679</v>
      </c>
      <c r="E290" t="s">
        <v>1282</v>
      </c>
      <c r="F290">
        <v>0</v>
      </c>
      <c r="G290" t="s">
        <v>1283</v>
      </c>
      <c r="H290" t="s">
        <v>1284</v>
      </c>
      <c r="I290" t="s">
        <v>1285</v>
      </c>
    </row>
    <row r="291" spans="1:9" x14ac:dyDescent="0.55000000000000004">
      <c r="A291" t="s">
        <v>6988</v>
      </c>
      <c r="B291" t="s">
        <v>6745</v>
      </c>
      <c r="C291" s="7" t="str">
        <f>HYPERLINK("[#]Feature_Schema_2!A16445:F16445","STORM_DRAIN_P")</f>
        <v>STORM_DRAIN_P</v>
      </c>
      <c r="D291" t="s">
        <v>6680</v>
      </c>
      <c r="E291" t="s">
        <v>1702</v>
      </c>
      <c r="F291">
        <v>0</v>
      </c>
      <c r="G291" t="s">
        <v>1703</v>
      </c>
      <c r="H291" t="s">
        <v>1704</v>
      </c>
      <c r="I291" t="s">
        <v>1705</v>
      </c>
    </row>
    <row r="292" spans="1:9" x14ac:dyDescent="0.55000000000000004">
      <c r="A292" t="s">
        <v>6988</v>
      </c>
      <c r="B292" t="s">
        <v>6783</v>
      </c>
      <c r="C292" s="7" t="str">
        <f>HYPERLINK("[#]Feature_Schema_2!A16522:F16522","STREET_LAMP_P")</f>
        <v>STREET_LAMP_P</v>
      </c>
      <c r="D292" t="s">
        <v>6681</v>
      </c>
      <c r="E292" t="s">
        <v>1762</v>
      </c>
      <c r="F292">
        <v>0</v>
      </c>
      <c r="G292" t="s">
        <v>1763</v>
      </c>
      <c r="H292" t="s">
        <v>1764</v>
      </c>
      <c r="I292" t="s">
        <v>1765</v>
      </c>
    </row>
    <row r="293" spans="1:9" x14ac:dyDescent="0.55000000000000004">
      <c r="A293" t="s">
        <v>6988</v>
      </c>
      <c r="B293" t="s">
        <v>6783</v>
      </c>
      <c r="C293" s="7" t="str">
        <f>HYPERLINK("[#]Feature_Schema_2!A16575:F16575","STREET_SIGN_P")</f>
        <v>STREET_SIGN_P</v>
      </c>
      <c r="D293" t="s">
        <v>6682</v>
      </c>
      <c r="E293" t="s">
        <v>1766</v>
      </c>
      <c r="F293">
        <v>0</v>
      </c>
      <c r="G293" t="s">
        <v>1767</v>
      </c>
      <c r="H293" t="s">
        <v>1768</v>
      </c>
      <c r="I293" t="s">
        <v>1769</v>
      </c>
    </row>
    <row r="294" spans="1:9" x14ac:dyDescent="0.55000000000000004">
      <c r="A294" t="s">
        <v>6988</v>
      </c>
      <c r="B294" t="s">
        <v>6829</v>
      </c>
      <c r="C294" s="7" t="str">
        <f>HYPERLINK("[#]Feature_Schema_2!A16678:F16678","STRUCTURAL_PILE_P")</f>
        <v>STRUCTURAL_PILE_P</v>
      </c>
      <c r="D294" t="s">
        <v>6683</v>
      </c>
      <c r="E294" t="s">
        <v>2313</v>
      </c>
      <c r="F294">
        <v>0</v>
      </c>
      <c r="G294" t="s">
        <v>2314</v>
      </c>
      <c r="H294" t="s">
        <v>2315</v>
      </c>
      <c r="I294" t="s">
        <v>2316</v>
      </c>
    </row>
    <row r="295" spans="1:9" x14ac:dyDescent="0.55000000000000004">
      <c r="A295" t="s">
        <v>6988</v>
      </c>
      <c r="B295" t="s">
        <v>6789</v>
      </c>
      <c r="C295" s="7" t="str">
        <f>HYPERLINK("[#]Feature_Schema_2!A16974:F16974","SURFACE_BUNKER_S")</f>
        <v>SURFACE_BUNKER_S</v>
      </c>
      <c r="D295" t="s">
        <v>1214</v>
      </c>
      <c r="E295" t="s">
        <v>1216</v>
      </c>
      <c r="F295">
        <v>0</v>
      </c>
      <c r="G295" t="s">
        <v>1217</v>
      </c>
      <c r="H295" t="s">
        <v>1218</v>
      </c>
      <c r="I295" t="s">
        <v>1215</v>
      </c>
    </row>
    <row r="296" spans="1:9" x14ac:dyDescent="0.55000000000000004">
      <c r="A296" t="s">
        <v>6988</v>
      </c>
      <c r="B296" t="s">
        <v>6781</v>
      </c>
      <c r="C296" s="7" t="str">
        <f>HYPERLINK("[#]Feature_Schema_2!A17148:F17148","SWAMP_S")</f>
        <v>SWAMP_S</v>
      </c>
      <c r="D296" t="s">
        <v>6685</v>
      </c>
      <c r="E296" t="s">
        <v>3348</v>
      </c>
      <c r="F296">
        <v>0</v>
      </c>
      <c r="G296" t="s">
        <v>3349</v>
      </c>
      <c r="H296" t="s">
        <v>3350</v>
      </c>
      <c r="I296" t="s">
        <v>3351</v>
      </c>
    </row>
    <row r="297" spans="1:9" x14ac:dyDescent="0.55000000000000004">
      <c r="A297" t="s">
        <v>6988</v>
      </c>
      <c r="B297" t="s">
        <v>6761</v>
      </c>
      <c r="C297" s="7" t="str">
        <f>HYPERLINK("[#]Feature_Schema_2!A17331:F17331","SWEPT_AREA_S")</f>
        <v>SWEPT_AREA_S</v>
      </c>
      <c r="D297" t="s">
        <v>6686</v>
      </c>
      <c r="E297" t="s">
        <v>3635</v>
      </c>
      <c r="F297">
        <v>0</v>
      </c>
      <c r="G297" t="s">
        <v>3636</v>
      </c>
      <c r="H297" t="s">
        <v>3637</v>
      </c>
      <c r="I297" t="s">
        <v>3638</v>
      </c>
    </row>
    <row r="298" spans="1:9" x14ac:dyDescent="0.55000000000000004">
      <c r="A298" t="s">
        <v>6988</v>
      </c>
      <c r="B298" t="s">
        <v>6750</v>
      </c>
      <c r="C298" s="7" t="str">
        <f>HYPERLINK("[#]Feature_Schema_2!A17690:F17690","SWIMMING_POOL_P")</f>
        <v>SWIMMING_POOL_P</v>
      </c>
      <c r="D298" t="s">
        <v>6688</v>
      </c>
      <c r="E298" t="s">
        <v>439</v>
      </c>
      <c r="F298">
        <v>0</v>
      </c>
      <c r="G298" t="s">
        <v>440</v>
      </c>
      <c r="H298" t="s">
        <v>441</v>
      </c>
      <c r="I298" t="s">
        <v>442</v>
      </c>
    </row>
    <row r="299" spans="1:9" x14ac:dyDescent="0.55000000000000004">
      <c r="A299" t="s">
        <v>6988</v>
      </c>
      <c r="B299" t="s">
        <v>6811</v>
      </c>
      <c r="C299" s="7" t="str">
        <f>HYPERLINK("[#]Feature_Schema_2!A18322:F18322","TANK_FARM_S")</f>
        <v>TANK_FARM_S</v>
      </c>
      <c r="D299" t="s">
        <v>6690</v>
      </c>
      <c r="E299" t="s">
        <v>1286</v>
      </c>
      <c r="F299">
        <v>0</v>
      </c>
      <c r="G299" t="s">
        <v>1287</v>
      </c>
      <c r="H299" t="s">
        <v>1288</v>
      </c>
      <c r="I299" t="s">
        <v>1289</v>
      </c>
    </row>
    <row r="300" spans="1:9" x14ac:dyDescent="0.55000000000000004">
      <c r="A300" t="s">
        <v>6988</v>
      </c>
      <c r="B300" t="s">
        <v>6836</v>
      </c>
      <c r="C300" s="7" t="str">
        <f>HYPERLINK("[#]Feature_Schema_2!A18614:F18614","TAXIWAY_C")</f>
        <v>TAXIWAY_C</v>
      </c>
      <c r="D300" t="s">
        <v>6692</v>
      </c>
      <c r="E300" t="s">
        <v>3818</v>
      </c>
      <c r="F300">
        <v>0</v>
      </c>
      <c r="G300" t="s">
        <v>3819</v>
      </c>
      <c r="H300" t="s">
        <v>3820</v>
      </c>
      <c r="I300" t="s">
        <v>3821</v>
      </c>
    </row>
    <row r="301" spans="1:9" x14ac:dyDescent="0.55000000000000004">
      <c r="A301" t="s">
        <v>6988</v>
      </c>
      <c r="B301" t="s">
        <v>6749</v>
      </c>
      <c r="C301" s="7" t="str">
        <f>HYPERLINK("[#]Feature_Schema_2!A18813:F18813","TAXIWAY_S")</f>
        <v>TAXIWAY_S</v>
      </c>
      <c r="D301" t="s">
        <v>6692</v>
      </c>
      <c r="E301" t="s">
        <v>3818</v>
      </c>
      <c r="F301">
        <v>0</v>
      </c>
      <c r="G301" t="s">
        <v>3819</v>
      </c>
      <c r="H301" t="s">
        <v>3820</v>
      </c>
      <c r="I301" t="s">
        <v>3821</v>
      </c>
    </row>
    <row r="302" spans="1:9" x14ac:dyDescent="0.55000000000000004">
      <c r="A302" t="s">
        <v>6988</v>
      </c>
      <c r="B302" t="s">
        <v>6789</v>
      </c>
      <c r="C302" s="7" t="str">
        <f>HYPERLINK("[#]Feature_Schema_2!A19012:F19012","TEST_SITE_S")</f>
        <v>TEST_SITE_S</v>
      </c>
      <c r="D302" t="s">
        <v>6693</v>
      </c>
      <c r="E302" t="s">
        <v>3504</v>
      </c>
      <c r="F302">
        <v>0</v>
      </c>
      <c r="G302" t="s">
        <v>3505</v>
      </c>
      <c r="H302" t="s">
        <v>3506</v>
      </c>
      <c r="I302" t="s">
        <v>3507</v>
      </c>
    </row>
    <row r="303" spans="1:9" x14ac:dyDescent="0.55000000000000004">
      <c r="A303" t="s">
        <v>6988</v>
      </c>
      <c r="B303" t="s">
        <v>6748</v>
      </c>
      <c r="C303" s="7" t="str">
        <f>HYPERLINK("[#]Feature_Schema_2!A19065:F19065","TETHERED_BALLOON_P")</f>
        <v>TETHERED_BALLOON_P</v>
      </c>
      <c r="D303" t="s">
        <v>6694</v>
      </c>
      <c r="E303" t="s">
        <v>1182</v>
      </c>
      <c r="F303">
        <v>0</v>
      </c>
      <c r="G303" t="s">
        <v>1183</v>
      </c>
      <c r="H303" t="s">
        <v>1184</v>
      </c>
      <c r="I303" t="s">
        <v>1185</v>
      </c>
    </row>
    <row r="304" spans="1:9" x14ac:dyDescent="0.55000000000000004">
      <c r="A304" t="s">
        <v>6988</v>
      </c>
      <c r="B304" t="s">
        <v>6781</v>
      </c>
      <c r="C304" s="7" t="str">
        <f>HYPERLINK("[#]Feature_Schema_2!A19115:F19115","THICKET_S")</f>
        <v>THICKET_S</v>
      </c>
      <c r="D304" t="s">
        <v>6695</v>
      </c>
      <c r="E304" t="s">
        <v>3067</v>
      </c>
      <c r="F304">
        <v>0</v>
      </c>
      <c r="G304" t="s">
        <v>3068</v>
      </c>
      <c r="H304" t="s">
        <v>3069</v>
      </c>
      <c r="I304" t="s">
        <v>3070</v>
      </c>
    </row>
    <row r="305" spans="1:9" x14ac:dyDescent="0.55000000000000004">
      <c r="A305" t="s">
        <v>6988</v>
      </c>
      <c r="B305" t="s">
        <v>6760</v>
      </c>
      <c r="C305" s="7" t="str">
        <f>HYPERLINK("[#]Feature_Schema_2!A19159:F19159","TIDAL_STREAM_OBSERVE_STATION_P")</f>
        <v>TIDAL_STREAM_OBSERVE_STATION_P</v>
      </c>
      <c r="D305" t="s">
        <v>6696</v>
      </c>
      <c r="E305" t="s">
        <v>2481</v>
      </c>
      <c r="F305">
        <v>0</v>
      </c>
      <c r="G305" t="s">
        <v>2482</v>
      </c>
      <c r="H305" t="s">
        <v>2483</v>
      </c>
      <c r="I305" t="s">
        <v>2484</v>
      </c>
    </row>
    <row r="306" spans="1:9" x14ac:dyDescent="0.55000000000000004">
      <c r="A306" t="s">
        <v>6988</v>
      </c>
      <c r="B306" t="s">
        <v>6764</v>
      </c>
      <c r="C306" s="7" t="str">
        <f>HYPERLINK("[#]Feature_Schema_2!A19237:F19237","TIDAL_WATER_S")</f>
        <v>TIDAL_WATER_S</v>
      </c>
      <c r="D306" t="s">
        <v>6697</v>
      </c>
      <c r="E306" t="s">
        <v>1887</v>
      </c>
      <c r="F306">
        <v>0</v>
      </c>
      <c r="G306" t="s">
        <v>1274</v>
      </c>
      <c r="H306" t="s">
        <v>1888</v>
      </c>
      <c r="I306" t="s">
        <v>1889</v>
      </c>
    </row>
    <row r="307" spans="1:9" x14ac:dyDescent="0.55000000000000004">
      <c r="A307" t="s">
        <v>6988</v>
      </c>
      <c r="B307" t="s">
        <v>6768</v>
      </c>
      <c r="C307" s="7" t="str">
        <f>HYPERLINK("[#]Feature_Schema_2!A19355:F19355","TOMB_P")</f>
        <v>TOMB_P</v>
      </c>
      <c r="D307" t="s">
        <v>6698</v>
      </c>
      <c r="E307" t="s">
        <v>899</v>
      </c>
      <c r="F307">
        <v>0</v>
      </c>
      <c r="G307" t="s">
        <v>900</v>
      </c>
      <c r="H307" t="s">
        <v>901</v>
      </c>
      <c r="I307" t="s">
        <v>902</v>
      </c>
    </row>
    <row r="308" spans="1:9" x14ac:dyDescent="0.55000000000000004">
      <c r="A308" t="s">
        <v>6988</v>
      </c>
      <c r="B308" t="s">
        <v>6771</v>
      </c>
      <c r="C308" s="7" t="str">
        <f>HYPERLINK("[#]Feature_Schema_2!A19557:F19557","TOWER_P")</f>
        <v>TOWER_P</v>
      </c>
      <c r="D308" t="s">
        <v>1102</v>
      </c>
      <c r="E308" t="s">
        <v>1104</v>
      </c>
      <c r="F308">
        <v>0</v>
      </c>
      <c r="G308" t="s">
        <v>1105</v>
      </c>
      <c r="H308" t="s">
        <v>1106</v>
      </c>
      <c r="I308" t="s">
        <v>1103</v>
      </c>
    </row>
    <row r="309" spans="1:9" x14ac:dyDescent="0.55000000000000004">
      <c r="A309" t="s">
        <v>6988</v>
      </c>
      <c r="B309" t="s">
        <v>6783</v>
      </c>
      <c r="C309" s="7" t="str">
        <f>HYPERLINK("[#]Feature_Schema_2!A19897:F19897","TRAFFIC_LIGHT_P")</f>
        <v>TRAFFIC_LIGHT_P</v>
      </c>
      <c r="D309" t="s">
        <v>6699</v>
      </c>
      <c r="E309" t="s">
        <v>1758</v>
      </c>
      <c r="F309">
        <v>0</v>
      </c>
      <c r="G309" t="s">
        <v>1759</v>
      </c>
      <c r="H309" t="s">
        <v>1760</v>
      </c>
      <c r="I309" t="s">
        <v>1761</v>
      </c>
    </row>
    <row r="310" spans="1:9" x14ac:dyDescent="0.55000000000000004">
      <c r="A310" t="s">
        <v>6988</v>
      </c>
      <c r="B310" t="s">
        <v>6801</v>
      </c>
      <c r="C310" s="7" t="str">
        <f>HYPERLINK("[#]Feature_Schema_2!A19950:F19950","TRAFFIC_SEPARATION_SCHEME_C")</f>
        <v>TRAFFIC_SEPARATION_SCHEME_C</v>
      </c>
      <c r="D310" t="s">
        <v>6700</v>
      </c>
      <c r="E310" t="s">
        <v>3571</v>
      </c>
      <c r="F310">
        <v>0</v>
      </c>
      <c r="G310" t="s">
        <v>3572</v>
      </c>
      <c r="H310" t="s">
        <v>3573</v>
      </c>
      <c r="I310" t="s">
        <v>3574</v>
      </c>
    </row>
    <row r="311" spans="1:9" x14ac:dyDescent="0.55000000000000004">
      <c r="A311" t="s">
        <v>6988</v>
      </c>
      <c r="B311" t="s">
        <v>6766</v>
      </c>
      <c r="C311" s="7" t="str">
        <f>HYPERLINK("[#]Feature_Schema_2!A20136:F20136","TRAIL_C")</f>
        <v>TRAIL_C</v>
      </c>
      <c r="D311" t="s">
        <v>6701</v>
      </c>
      <c r="E311" t="s">
        <v>1498</v>
      </c>
      <c r="F311">
        <v>0</v>
      </c>
      <c r="G311" t="s">
        <v>1499</v>
      </c>
      <c r="H311" t="s">
        <v>1500</v>
      </c>
      <c r="I311" t="s">
        <v>1501</v>
      </c>
    </row>
    <row r="312" spans="1:9" x14ac:dyDescent="0.55000000000000004">
      <c r="A312" t="s">
        <v>6988</v>
      </c>
      <c r="B312" t="s">
        <v>6789</v>
      </c>
      <c r="C312" s="7" t="str">
        <f>HYPERLINK("[#]Feature_Schema_2!A20357:F20357","TRAINING_SITE_S")</f>
        <v>TRAINING_SITE_S</v>
      </c>
      <c r="D312" t="s">
        <v>6702</v>
      </c>
      <c r="G312" t="s">
        <v>3517</v>
      </c>
    </row>
    <row r="313" spans="1:9" x14ac:dyDescent="0.55000000000000004">
      <c r="A313" t="s">
        <v>6988</v>
      </c>
      <c r="B313" t="s">
        <v>6783</v>
      </c>
      <c r="C313" s="7" t="str">
        <f>HYPERLINK("[#]Feature_Schema_2!A20815:F20815","TRANS_ROUTE_PROTECT_STRUCT_P")</f>
        <v>TRANS_ROUTE_PROTECT_STRUCT_P</v>
      </c>
      <c r="D313" t="s">
        <v>6704</v>
      </c>
      <c r="E313" t="s">
        <v>1090</v>
      </c>
      <c r="F313">
        <v>0</v>
      </c>
      <c r="G313" t="s">
        <v>1091</v>
      </c>
      <c r="H313" t="s">
        <v>1092</v>
      </c>
      <c r="I313" t="s">
        <v>1093</v>
      </c>
    </row>
    <row r="314" spans="1:9" x14ac:dyDescent="0.55000000000000004">
      <c r="A314" s="29" t="s">
        <v>6988</v>
      </c>
      <c r="B314" t="s">
        <v>6783</v>
      </c>
      <c r="C314" s="7" t="str">
        <f>HYPERLINK("[#]Feature_Schema_2!A20987:F20987","TRANSPORTATION_BLOCK_P")</f>
        <v>TRANSPORTATION_BLOCK_P</v>
      </c>
      <c r="D314" t="s">
        <v>6705</v>
      </c>
      <c r="E314" t="s">
        <v>1658</v>
      </c>
      <c r="F314">
        <v>0</v>
      </c>
      <c r="G314" t="s">
        <v>1659</v>
      </c>
      <c r="H314" t="s">
        <v>1660</v>
      </c>
      <c r="I314" t="s">
        <v>1661</v>
      </c>
    </row>
    <row r="315" spans="1:9" x14ac:dyDescent="0.55000000000000004">
      <c r="A315" t="s">
        <v>6988</v>
      </c>
      <c r="B315" t="s">
        <v>6783</v>
      </c>
      <c r="C315" s="7" t="str">
        <f>HYPERLINK("[#]Feature_Schema_2!A21145:F21145","TRANSPORTATION_STATION_P")</f>
        <v>TRANSPORTATION_STATION_P</v>
      </c>
      <c r="D315" t="s">
        <v>6706</v>
      </c>
      <c r="E315" t="s">
        <v>1726</v>
      </c>
      <c r="F315">
        <v>0</v>
      </c>
      <c r="G315" t="s">
        <v>1727</v>
      </c>
      <c r="H315" t="s">
        <v>1728</v>
      </c>
      <c r="I315" t="s">
        <v>1729</v>
      </c>
    </row>
    <row r="316" spans="1:9" x14ac:dyDescent="0.55000000000000004">
      <c r="A316" t="s">
        <v>6988</v>
      </c>
      <c r="B316" t="s">
        <v>6781</v>
      </c>
      <c r="C316" s="7" t="str">
        <f>HYPERLINK("[#]Feature_Schema_2!A21745:F21745","TUNDRA_S")</f>
        <v>TUNDRA_S</v>
      </c>
      <c r="D316" t="s">
        <v>6707</v>
      </c>
      <c r="E316" t="s">
        <v>2810</v>
      </c>
      <c r="F316">
        <v>0</v>
      </c>
      <c r="G316" t="s">
        <v>2811</v>
      </c>
      <c r="H316" t="s">
        <v>2812</v>
      </c>
      <c r="I316" t="s">
        <v>2813</v>
      </c>
    </row>
    <row r="317" spans="1:9" x14ac:dyDescent="0.55000000000000004">
      <c r="A317" t="s">
        <v>6988</v>
      </c>
      <c r="B317" t="s">
        <v>6783</v>
      </c>
      <c r="C317" s="7" t="str">
        <f>HYPERLINK("[#]Feature_Schema_2!A21920:F21920","TUNNEL_MOUTH_P")</f>
        <v>TUNNEL_MOUTH_P</v>
      </c>
      <c r="D317" t="s">
        <v>6709</v>
      </c>
      <c r="E317" t="s">
        <v>1678</v>
      </c>
      <c r="F317">
        <v>0</v>
      </c>
      <c r="G317" t="s">
        <v>1679</v>
      </c>
      <c r="H317" t="s">
        <v>1680</v>
      </c>
      <c r="I317" t="s">
        <v>1681</v>
      </c>
    </row>
    <row r="318" spans="1:9" x14ac:dyDescent="0.55000000000000004">
      <c r="A318" t="s">
        <v>6988</v>
      </c>
      <c r="B318" t="s">
        <v>6789</v>
      </c>
      <c r="C318" s="7" t="str">
        <f>HYPERLINK("[#]Feature_Schema_2!A22274:F22274","UNDERGROUND_BUNKER_S")</f>
        <v>UNDERGROUND_BUNKER_S</v>
      </c>
      <c r="D318" t="s">
        <v>6710</v>
      </c>
      <c r="G318" t="s">
        <v>242</v>
      </c>
    </row>
    <row r="319" spans="1:9" x14ac:dyDescent="0.55000000000000004">
      <c r="A319" t="s">
        <v>6988</v>
      </c>
      <c r="B319" t="s">
        <v>6771</v>
      </c>
      <c r="C319" s="7" t="str">
        <f>HYPERLINK("[#]Feature_Schema_2!A22396:F22396","UNDERGROUND_DWELLING_P")</f>
        <v>UNDERGROUND_DWELLING_P</v>
      </c>
      <c r="D319" t="s">
        <v>6711</v>
      </c>
      <c r="E319" t="s">
        <v>1155</v>
      </c>
      <c r="F319">
        <v>0</v>
      </c>
      <c r="G319" t="s">
        <v>1156</v>
      </c>
      <c r="H319" t="s">
        <v>1157</v>
      </c>
      <c r="I319" t="s">
        <v>1158</v>
      </c>
    </row>
    <row r="320" spans="1:9" x14ac:dyDescent="0.55000000000000004">
      <c r="A320" t="s">
        <v>6988</v>
      </c>
      <c r="B320" t="s">
        <v>6745</v>
      </c>
      <c r="C320" s="7" t="str">
        <f>HYPERLINK("[#]Feature_Schema_2!A22472:F22472","UTILITY_ACCESS_POINT_P")</f>
        <v>UTILITY_ACCESS_POINT_P</v>
      </c>
      <c r="D320" t="s">
        <v>6712</v>
      </c>
      <c r="E320" t="s">
        <v>1706</v>
      </c>
      <c r="F320">
        <v>0</v>
      </c>
      <c r="G320" t="s">
        <v>1707</v>
      </c>
      <c r="H320" t="s">
        <v>1708</v>
      </c>
      <c r="I320" t="s">
        <v>1709</v>
      </c>
    </row>
    <row r="321" spans="1:9" x14ac:dyDescent="0.55000000000000004">
      <c r="A321" t="s">
        <v>6988</v>
      </c>
      <c r="B321" t="s">
        <v>6792</v>
      </c>
      <c r="C321" s="7" t="str">
        <f>HYPERLINK("[#]Feature_Schema_2!A22581:F22581","VANISHING_POINT_P")</f>
        <v>VANISHING_POINT_P</v>
      </c>
      <c r="D321" t="s">
        <v>6713</v>
      </c>
      <c r="E321" t="s">
        <v>2608</v>
      </c>
      <c r="F321">
        <v>0</v>
      </c>
      <c r="G321" t="s">
        <v>2609</v>
      </c>
      <c r="H321" t="s">
        <v>2610</v>
      </c>
      <c r="I321" t="s">
        <v>2611</v>
      </c>
    </row>
    <row r="322" spans="1:9" x14ac:dyDescent="0.55000000000000004">
      <c r="A322" t="s">
        <v>6988</v>
      </c>
      <c r="B322" t="s">
        <v>6783</v>
      </c>
      <c r="C322" s="7" t="str">
        <f>HYPERLINK("[#]Feature_Schema_2!A22777:F22777","VEHICLE_BARRIER_P")</f>
        <v>VEHICLE_BARRIER_P</v>
      </c>
      <c r="D322" t="s">
        <v>6714</v>
      </c>
      <c r="E322" t="s">
        <v>1494</v>
      </c>
      <c r="F322">
        <v>0</v>
      </c>
      <c r="G322" t="s">
        <v>1495</v>
      </c>
      <c r="H322" t="s">
        <v>1496</v>
      </c>
      <c r="I322" t="s">
        <v>1497</v>
      </c>
    </row>
    <row r="323" spans="1:9" x14ac:dyDescent="0.55000000000000004">
      <c r="A323" t="s">
        <v>6988</v>
      </c>
      <c r="B323" t="s">
        <v>6767</v>
      </c>
      <c r="C323" s="7" t="str">
        <f>HYPERLINK("[#]Feature_Schema_2!A22887:F22887","VEHICLE_LOT_S")</f>
        <v>VEHICLE_LOT_S</v>
      </c>
      <c r="D323" t="s">
        <v>6715</v>
      </c>
      <c r="E323" t="s">
        <v>1738</v>
      </c>
      <c r="F323">
        <v>0</v>
      </c>
      <c r="G323" t="s">
        <v>1739</v>
      </c>
      <c r="H323" t="s">
        <v>1740</v>
      </c>
      <c r="I323" t="s">
        <v>1741</v>
      </c>
    </row>
    <row r="324" spans="1:9" x14ac:dyDescent="0.55000000000000004">
      <c r="A324" t="s">
        <v>6988</v>
      </c>
      <c r="B324" t="s">
        <v>6774</v>
      </c>
      <c r="C324" s="7" t="str">
        <f>HYPERLINK("[#]Feature_Schema_2!A23142:F23142","VINEYARD_S")</f>
        <v>VINEYARD_S</v>
      </c>
      <c r="D324" t="s">
        <v>6717</v>
      </c>
      <c r="E324" t="s">
        <v>3047</v>
      </c>
      <c r="F324">
        <v>0</v>
      </c>
      <c r="G324" t="s">
        <v>3048</v>
      </c>
      <c r="H324" t="s">
        <v>3049</v>
      </c>
      <c r="I324" t="s">
        <v>3050</v>
      </c>
    </row>
    <row r="325" spans="1:9" x14ac:dyDescent="0.55000000000000004">
      <c r="A325" t="s">
        <v>6988</v>
      </c>
      <c r="B325" t="s">
        <v>6757</v>
      </c>
      <c r="C325" s="7" t="str">
        <f>HYPERLINK("[#]Feature_Schema_2!A23230:F23230","VOID_COLLECTION_AREA_S")</f>
        <v>VOID_COLLECTION_AREA_S</v>
      </c>
      <c r="D325" t="s">
        <v>6718</v>
      </c>
      <c r="E325" t="s">
        <v>6068</v>
      </c>
      <c r="F325">
        <v>0</v>
      </c>
      <c r="G325" t="s">
        <v>6069</v>
      </c>
      <c r="H325" t="s">
        <v>6070</v>
      </c>
      <c r="I325" t="s">
        <v>6071</v>
      </c>
    </row>
    <row r="326" spans="1:9" x14ac:dyDescent="0.55000000000000004">
      <c r="A326" t="s">
        <v>6988</v>
      </c>
      <c r="B326" t="s">
        <v>6796</v>
      </c>
      <c r="C326" s="7" t="str">
        <f>HYPERLINK("[#]Feature_Schema_2!A23326:F23326","VOLCANIC_DYKE_C")</f>
        <v>VOLCANIC_DYKE_C</v>
      </c>
      <c r="D326" t="s">
        <v>6719</v>
      </c>
      <c r="E326" t="s">
        <v>2986</v>
      </c>
      <c r="F326">
        <v>0</v>
      </c>
      <c r="G326" t="s">
        <v>2987</v>
      </c>
      <c r="H326" t="s">
        <v>2988</v>
      </c>
      <c r="I326" t="s">
        <v>2989</v>
      </c>
    </row>
    <row r="327" spans="1:9" x14ac:dyDescent="0.55000000000000004">
      <c r="A327" t="s">
        <v>6988</v>
      </c>
      <c r="B327" t="s">
        <v>6791</v>
      </c>
      <c r="C327" s="7" t="str">
        <f>HYPERLINK("[#]Feature_Schema_2!A23369:F23369","VOLCANO_P")</f>
        <v>VOLCANO_P</v>
      </c>
      <c r="D327" t="s">
        <v>6720</v>
      </c>
      <c r="E327" t="s">
        <v>2974</v>
      </c>
      <c r="F327">
        <v>0</v>
      </c>
      <c r="G327" t="s">
        <v>2975</v>
      </c>
      <c r="H327" t="s">
        <v>2976</v>
      </c>
      <c r="I327" t="s">
        <v>2977</v>
      </c>
    </row>
    <row r="328" spans="1:9" x14ac:dyDescent="0.55000000000000004">
      <c r="A328" t="s">
        <v>6988</v>
      </c>
      <c r="B328" t="s">
        <v>6784</v>
      </c>
      <c r="C328" s="7" t="str">
        <f>HYPERLINK("[#]Feature_Schema_2!A23475:F23475","WALL_C")</f>
        <v>WALL_C</v>
      </c>
      <c r="D328" t="s">
        <v>6721</v>
      </c>
      <c r="E328" t="s">
        <v>1159</v>
      </c>
      <c r="F328">
        <v>0</v>
      </c>
      <c r="G328" t="s">
        <v>1160</v>
      </c>
      <c r="H328" t="s">
        <v>1161</v>
      </c>
      <c r="I328" t="s">
        <v>1162</v>
      </c>
    </row>
    <row r="329" spans="1:9" x14ac:dyDescent="0.55000000000000004">
      <c r="A329" t="s">
        <v>6988</v>
      </c>
      <c r="B329" t="s">
        <v>6780</v>
      </c>
      <c r="C329" s="7" t="str">
        <f>HYPERLINK("[#]Feature_Schema_2!A23590:F23590","WASTE_HEAP_P")</f>
        <v>WASTE_HEAP_P</v>
      </c>
      <c r="D329" t="s">
        <v>6722</v>
      </c>
      <c r="E329" t="s">
        <v>68</v>
      </c>
      <c r="F329">
        <v>0</v>
      </c>
      <c r="G329" t="s">
        <v>69</v>
      </c>
      <c r="H329" t="s">
        <v>70</v>
      </c>
      <c r="I329" t="s">
        <v>71</v>
      </c>
    </row>
    <row r="330" spans="1:9" x14ac:dyDescent="0.55000000000000004">
      <c r="A330" t="s">
        <v>6988</v>
      </c>
      <c r="B330" t="s">
        <v>6748</v>
      </c>
      <c r="C330" s="7" t="str">
        <f>HYPERLINK("[#]Feature_Schema_2!A23674:F23674","WATER_AERODROME_P")</f>
        <v>WATER_AERODROME_P</v>
      </c>
      <c r="D330" t="s">
        <v>6723</v>
      </c>
      <c r="E330" t="s">
        <v>3810</v>
      </c>
      <c r="F330">
        <v>0</v>
      </c>
      <c r="G330" t="s">
        <v>3811</v>
      </c>
      <c r="H330" t="s">
        <v>3812</v>
      </c>
      <c r="I330" t="s">
        <v>3813</v>
      </c>
    </row>
    <row r="331" spans="1:9" x14ac:dyDescent="0.55000000000000004">
      <c r="A331" t="s">
        <v>6988</v>
      </c>
      <c r="B331" t="s">
        <v>6792</v>
      </c>
      <c r="C331" s="7" t="str">
        <f>HYPERLINK("[#]Feature_Schema_2!A23834:F23834","WATER_INTAKE_TOWER_P")</f>
        <v>WATER_INTAKE_TOWER_P</v>
      </c>
      <c r="D331" t="s">
        <v>6724</v>
      </c>
      <c r="E331" t="s">
        <v>2750</v>
      </c>
      <c r="F331">
        <v>0</v>
      </c>
      <c r="G331" t="s">
        <v>2751</v>
      </c>
      <c r="H331" t="s">
        <v>2752</v>
      </c>
      <c r="I331" t="s">
        <v>2753</v>
      </c>
    </row>
    <row r="332" spans="1:9" x14ac:dyDescent="0.55000000000000004">
      <c r="A332" t="s">
        <v>6988</v>
      </c>
      <c r="B332" t="s">
        <v>6780</v>
      </c>
      <c r="C332" s="7" t="str">
        <f>HYPERLINK("[#]Feature_Schema_2!A24404:F24404","WATER_MILL_P")</f>
        <v>WATER_MILL_P</v>
      </c>
      <c r="D332" t="s">
        <v>6726</v>
      </c>
      <c r="E332" t="s">
        <v>277</v>
      </c>
      <c r="F332">
        <v>0</v>
      </c>
      <c r="G332" t="s">
        <v>278</v>
      </c>
      <c r="H332" t="s">
        <v>279</v>
      </c>
      <c r="I332" t="s">
        <v>280</v>
      </c>
    </row>
    <row r="333" spans="1:9" x14ac:dyDescent="0.55000000000000004">
      <c r="A333" t="s">
        <v>6988</v>
      </c>
      <c r="B333" t="s">
        <v>6760</v>
      </c>
      <c r="C333" s="7" t="str">
        <f>HYPERLINK("[#]Feature_Schema_2!A24654:F24654","WATER_MOVEMENT_DATA_LOCATION_P")</f>
        <v>WATER_MOVEMENT_DATA_LOCATION_P</v>
      </c>
      <c r="D333" t="s">
        <v>6727</v>
      </c>
      <c r="E333" t="s">
        <v>2461</v>
      </c>
      <c r="F333">
        <v>0</v>
      </c>
      <c r="G333" t="s">
        <v>2462</v>
      </c>
      <c r="H333" t="s">
        <v>2463</v>
      </c>
      <c r="I333" t="s">
        <v>2464</v>
      </c>
    </row>
    <row r="334" spans="1:9" x14ac:dyDescent="0.55000000000000004">
      <c r="A334" t="s">
        <v>6988</v>
      </c>
      <c r="B334" t="s">
        <v>6763</v>
      </c>
      <c r="C334" s="7" t="str">
        <f>HYPERLINK("[#]Feature_Schema_2!A24892:F24892","WATER_RACE_C")</f>
        <v>WATER_RACE_C</v>
      </c>
      <c r="D334" t="s">
        <v>6728</v>
      </c>
      <c r="E334" t="s">
        <v>2536</v>
      </c>
      <c r="F334">
        <v>0</v>
      </c>
      <c r="G334" t="s">
        <v>2537</v>
      </c>
      <c r="H334" t="s">
        <v>2538</v>
      </c>
      <c r="I334" t="s">
        <v>2539</v>
      </c>
    </row>
    <row r="335" spans="1:9" x14ac:dyDescent="0.55000000000000004">
      <c r="A335" t="s">
        <v>6988</v>
      </c>
      <c r="B335" t="s">
        <v>6810</v>
      </c>
      <c r="C335" s="7" t="str">
        <f>HYPERLINK("[#]Feature_Schema_2!A25064:F25064","WATER_TOWER_P")</f>
        <v>WATER_TOWER_P</v>
      </c>
      <c r="D335" t="s">
        <v>6729</v>
      </c>
      <c r="E335" t="s">
        <v>1294</v>
      </c>
      <c r="F335">
        <v>0</v>
      </c>
      <c r="G335" t="s">
        <v>1119</v>
      </c>
      <c r="H335" t="s">
        <v>1295</v>
      </c>
      <c r="I335" t="s">
        <v>1296</v>
      </c>
    </row>
    <row r="336" spans="1:9" x14ac:dyDescent="0.55000000000000004">
      <c r="A336" t="s">
        <v>6988</v>
      </c>
      <c r="B336" t="s">
        <v>6744</v>
      </c>
      <c r="C336" s="7" t="str">
        <f>HYPERLINK("[#]Feature_Schema_2!A25456:F25456","WATER_TREATMENT_BED_S")</f>
        <v>WATER_TREATMENT_BED_S</v>
      </c>
      <c r="D336" t="s">
        <v>6730</v>
      </c>
      <c r="E336" t="s">
        <v>2516</v>
      </c>
      <c r="F336">
        <v>0</v>
      </c>
      <c r="G336" t="s">
        <v>2517</v>
      </c>
      <c r="H336" t="s">
        <v>2518</v>
      </c>
      <c r="I336" t="s">
        <v>2519</v>
      </c>
    </row>
    <row r="337" spans="1:9" x14ac:dyDescent="0.55000000000000004">
      <c r="A337" t="s">
        <v>6988</v>
      </c>
      <c r="B337" t="s">
        <v>6760</v>
      </c>
      <c r="C337" s="7" t="str">
        <f>HYPERLINK("[#]Feature_Schema_2!A25585:F25585","WATER_TURBULENCE_P")</f>
        <v>WATER_TURBULENCE_P</v>
      </c>
      <c r="D337" t="s">
        <v>6731</v>
      </c>
      <c r="E337" t="s">
        <v>2469</v>
      </c>
      <c r="F337">
        <v>0</v>
      </c>
      <c r="G337" t="s">
        <v>2470</v>
      </c>
      <c r="H337" t="s">
        <v>2471</v>
      </c>
      <c r="I337" t="s">
        <v>2472</v>
      </c>
    </row>
    <row r="338" spans="1:9" x14ac:dyDescent="0.55000000000000004">
      <c r="A338" t="s">
        <v>6988</v>
      </c>
      <c r="B338" t="s">
        <v>6761</v>
      </c>
      <c r="C338" s="7" t="str">
        <f>HYPERLINK("[#]Feature_Schema_2!A25631:F25631","WATER_TURBULENCE_S")</f>
        <v>WATER_TURBULENCE_S</v>
      </c>
      <c r="D338" t="s">
        <v>6731</v>
      </c>
      <c r="E338" t="s">
        <v>2469</v>
      </c>
      <c r="F338">
        <v>0</v>
      </c>
      <c r="G338" t="s">
        <v>2470</v>
      </c>
      <c r="H338" t="s">
        <v>2471</v>
      </c>
      <c r="I338" t="s">
        <v>2472</v>
      </c>
    </row>
    <row r="339" spans="1:9" x14ac:dyDescent="0.55000000000000004">
      <c r="A339" t="s">
        <v>6988</v>
      </c>
      <c r="B339" t="s">
        <v>6792</v>
      </c>
      <c r="C339" s="7" t="str">
        <f>HYPERLINK("[#]Feature_Schema_2!A26017:F26017","WATER_WELL_P")</f>
        <v>WATER_WELL_P</v>
      </c>
      <c r="D339" t="s">
        <v>6733</v>
      </c>
      <c r="E339" t="s">
        <v>2675</v>
      </c>
      <c r="F339">
        <v>0</v>
      </c>
      <c r="G339" t="s">
        <v>2676</v>
      </c>
      <c r="H339" t="s">
        <v>2677</v>
      </c>
      <c r="I339" t="s">
        <v>2678</v>
      </c>
    </row>
    <row r="340" spans="1:9" x14ac:dyDescent="0.55000000000000004">
      <c r="A340" t="s">
        <v>6988</v>
      </c>
      <c r="B340" t="s">
        <v>6763</v>
      </c>
      <c r="C340" s="7" t="str">
        <f>HYPERLINK("[#]Feature_Schema_2!A26792:F26792","WATERFALL_C")</f>
        <v>WATERFALL_C</v>
      </c>
      <c r="D340" t="s">
        <v>6735</v>
      </c>
      <c r="E340" t="s">
        <v>2647</v>
      </c>
      <c r="F340">
        <v>0</v>
      </c>
      <c r="G340" t="s">
        <v>2648</v>
      </c>
      <c r="H340" t="s">
        <v>2649</v>
      </c>
      <c r="I340" t="s">
        <v>2650</v>
      </c>
    </row>
    <row r="341" spans="1:9" x14ac:dyDescent="0.55000000000000004">
      <c r="A341" t="s">
        <v>6988</v>
      </c>
      <c r="B341" t="s">
        <v>6792</v>
      </c>
      <c r="C341" s="7" t="str">
        <f>HYPERLINK("[#]Feature_Schema_2!A26834:F26834","WATERFALL_P")</f>
        <v>WATERFALL_P</v>
      </c>
      <c r="D341" t="s">
        <v>6735</v>
      </c>
      <c r="E341" t="s">
        <v>2647</v>
      </c>
      <c r="F341">
        <v>0</v>
      </c>
      <c r="G341" t="s">
        <v>2648</v>
      </c>
      <c r="H341" t="s">
        <v>2649</v>
      </c>
      <c r="I341" t="s">
        <v>2650</v>
      </c>
    </row>
    <row r="342" spans="1:9" x14ac:dyDescent="0.55000000000000004">
      <c r="A342" t="s">
        <v>6988</v>
      </c>
      <c r="B342" t="s">
        <v>6745</v>
      </c>
      <c r="C342" s="7" t="str">
        <f>HYPERLINK("[#]Feature_Schema_2!A26876:F26876","WATERWORK_P")</f>
        <v>WATERWORK_P</v>
      </c>
      <c r="D342" t="s">
        <v>6736</v>
      </c>
      <c r="E342" t="s">
        <v>2671</v>
      </c>
      <c r="F342">
        <v>0</v>
      </c>
      <c r="G342" t="s">
        <v>2672</v>
      </c>
      <c r="H342" t="s">
        <v>2673</v>
      </c>
      <c r="I342" t="s">
        <v>2674</v>
      </c>
    </row>
    <row r="343" spans="1:9" x14ac:dyDescent="0.55000000000000004">
      <c r="A343" t="s">
        <v>6988</v>
      </c>
      <c r="B343" t="s">
        <v>6746</v>
      </c>
      <c r="C343" s="7" t="str">
        <f>HYPERLINK("[#]Feature_Schema_2!A27527:F27527","WIND_FARM_S")</f>
        <v>WIND_FARM_S</v>
      </c>
      <c r="D343" t="s">
        <v>6737</v>
      </c>
      <c r="E343" t="s">
        <v>165</v>
      </c>
      <c r="F343">
        <v>0</v>
      </c>
      <c r="G343" t="s">
        <v>166</v>
      </c>
      <c r="H343" t="s">
        <v>167</v>
      </c>
      <c r="I343" t="s">
        <v>168</v>
      </c>
    </row>
    <row r="344" spans="1:9" x14ac:dyDescent="0.55000000000000004">
      <c r="A344" t="s">
        <v>6988</v>
      </c>
      <c r="B344" t="s">
        <v>6745</v>
      </c>
      <c r="C344" s="7" t="str">
        <f>HYPERLINK("[#]Feature_Schema_2!A27594:F27594","WIND_TURBINE_P")</f>
        <v>WIND_TURBINE_P</v>
      </c>
      <c r="D344" t="s">
        <v>6738</v>
      </c>
      <c r="E344" t="s">
        <v>273</v>
      </c>
      <c r="F344">
        <v>0</v>
      </c>
      <c r="G344" t="s">
        <v>274</v>
      </c>
      <c r="H344" t="s">
        <v>275</v>
      </c>
      <c r="I344" t="s">
        <v>276</v>
      </c>
    </row>
    <row r="345" spans="1:9" x14ac:dyDescent="0.55000000000000004">
      <c r="A345" t="s">
        <v>6988</v>
      </c>
      <c r="B345" t="s">
        <v>6773</v>
      </c>
      <c r="C345" s="7" t="str">
        <f>HYPERLINK("[#]Feature_Schema_2!A27707:F27707","WINDMILL_P")</f>
        <v>WINDMILL_P</v>
      </c>
      <c r="D345" t="s">
        <v>6739</v>
      </c>
      <c r="E345" t="s">
        <v>269</v>
      </c>
      <c r="F345">
        <v>0</v>
      </c>
      <c r="G345" t="s">
        <v>270</v>
      </c>
      <c r="H345" t="s">
        <v>271</v>
      </c>
      <c r="I345" t="s">
        <v>272</v>
      </c>
    </row>
    <row r="346" spans="1:9" x14ac:dyDescent="0.55000000000000004">
      <c r="A346" t="s">
        <v>6988</v>
      </c>
      <c r="B346" t="s">
        <v>6760</v>
      </c>
      <c r="C346" s="7" t="str">
        <f>HYPERLINK("[#]Feature_Schema_2!A27963:F27963","WRECK_P")</f>
        <v>WRECK_P</v>
      </c>
      <c r="D346" t="s">
        <v>6740</v>
      </c>
      <c r="E346" t="s">
        <v>2393</v>
      </c>
      <c r="F346">
        <v>0</v>
      </c>
      <c r="G346" t="s">
        <v>2394</v>
      </c>
      <c r="H346" t="s">
        <v>2395</v>
      </c>
      <c r="I346" t="s">
        <v>2396</v>
      </c>
    </row>
    <row r="347" spans="1:9" x14ac:dyDescent="0.55000000000000004">
      <c r="A347" t="s">
        <v>6988</v>
      </c>
      <c r="B347" t="s">
        <v>6751</v>
      </c>
      <c r="C347" s="7" t="str">
        <f>HYPERLINK("[#]Feature_Schema_2!A28324:F28324","ZOO_S")</f>
        <v>ZOO_S</v>
      </c>
      <c r="D347" t="s">
        <v>6741</v>
      </c>
      <c r="E347" t="s">
        <v>443</v>
      </c>
      <c r="F347">
        <v>0</v>
      </c>
      <c r="G347" t="s">
        <v>444</v>
      </c>
      <c r="H347" t="s">
        <v>445</v>
      </c>
      <c r="I347" t="s">
        <v>446</v>
      </c>
    </row>
    <row r="348" spans="1:9" x14ac:dyDescent="0.55000000000000004">
      <c r="A348" s="11" t="s">
        <v>6988</v>
      </c>
      <c r="B348" t="s">
        <v>6766</v>
      </c>
      <c r="C348" s="7" t="str">
        <f>HYPERLINK("[#]Feature_Schema_2!A21787:F21787","TUNNEL_C")</f>
        <v>TUNNEL_C</v>
      </c>
      <c r="D348" t="s">
        <v>8239</v>
      </c>
      <c r="E348" t="s">
        <v>1730</v>
      </c>
      <c r="F348">
        <v>0</v>
      </c>
      <c r="G348" t="s">
        <v>1731</v>
      </c>
      <c r="H348" t="s">
        <v>1732</v>
      </c>
      <c r="I348" t="s">
        <v>1733</v>
      </c>
    </row>
    <row r="349" spans="1:9" x14ac:dyDescent="0.55000000000000004">
      <c r="A349" s="11" t="s">
        <v>6988</v>
      </c>
      <c r="B349" t="s">
        <v>6766</v>
      </c>
      <c r="C349" s="7" t="str">
        <f>HYPERLINK("[#]Feature_Schema_2!A22667:F22667","VEHICLE_BARRIER_C")</f>
        <v>VEHICLE_BARRIER_C</v>
      </c>
      <c r="D349" t="s">
        <v>8240</v>
      </c>
      <c r="E349" t="s">
        <v>1494</v>
      </c>
      <c r="F349">
        <v>0</v>
      </c>
      <c r="G349" t="s">
        <v>1495</v>
      </c>
      <c r="H349" t="s">
        <v>1496</v>
      </c>
      <c r="I349" t="s">
        <v>1497</v>
      </c>
    </row>
    <row r="350" spans="1:9" x14ac:dyDescent="0.55000000000000004">
      <c r="A350" s="12" t="s">
        <v>8238</v>
      </c>
      <c r="B350" t="s">
        <v>6812</v>
      </c>
      <c r="C350" s="7" t="str">
        <f>HYPERLINK("[#]Feature_Schema_1!A36646:F36646","GROVE_P")</f>
        <v>GROVE_P</v>
      </c>
      <c r="D350" s="11" t="s">
        <v>6500</v>
      </c>
      <c r="E350" t="s">
        <v>3332</v>
      </c>
      <c r="F350">
        <v>0</v>
      </c>
      <c r="G350" t="s">
        <v>3119</v>
      </c>
      <c r="H350" t="s">
        <v>3333</v>
      </c>
      <c r="I350" t="s">
        <v>3334</v>
      </c>
    </row>
    <row r="351" spans="1:9" x14ac:dyDescent="0.55000000000000004">
      <c r="A351" t="s">
        <v>6989</v>
      </c>
      <c r="B351" t="s">
        <v>6745</v>
      </c>
      <c r="C351" s="7" t="str">
        <f>HYPERLINK("[#]Feature_Schema_1!A266:F266","AERIAL_FARM_P")</f>
        <v>AERIAL_FARM_P</v>
      </c>
      <c r="D351" t="s">
        <v>6349</v>
      </c>
      <c r="E351" t="s">
        <v>1802</v>
      </c>
      <c r="F351">
        <v>0</v>
      </c>
      <c r="G351" t="s">
        <v>1803</v>
      </c>
      <c r="H351" t="s">
        <v>1804</v>
      </c>
      <c r="I351" t="s">
        <v>1805</v>
      </c>
    </row>
    <row r="352" spans="1:9" x14ac:dyDescent="0.55000000000000004">
      <c r="A352" t="s">
        <v>6989</v>
      </c>
      <c r="B352" t="s">
        <v>6749</v>
      </c>
      <c r="C352" s="7" t="str">
        <f>HYPERLINK("[#]Feature_Schema_1!A1025:F1025","AIRCRAFT_HANGAR_S")</f>
        <v>AIRCRAFT_HANGAR_S</v>
      </c>
      <c r="D352" t="s">
        <v>6353</v>
      </c>
      <c r="E352" t="s">
        <v>3850</v>
      </c>
      <c r="F352">
        <v>0</v>
      </c>
      <c r="G352" t="s">
        <v>3851</v>
      </c>
      <c r="H352" t="s">
        <v>3852</v>
      </c>
      <c r="I352" t="s">
        <v>3853</v>
      </c>
    </row>
    <row r="353" spans="1:9" x14ac:dyDescent="0.55000000000000004">
      <c r="A353" t="s">
        <v>6989</v>
      </c>
      <c r="B353" t="s">
        <v>6750</v>
      </c>
      <c r="C353" s="7" t="str">
        <f>HYPERLINK("[#]Feature_Schema_1!A1212:F1212","AMPHITHEATRE_P")</f>
        <v>AMPHITHEATRE_P</v>
      </c>
      <c r="D353" t="s">
        <v>6354</v>
      </c>
      <c r="E353" t="s">
        <v>427</v>
      </c>
      <c r="F353">
        <v>0</v>
      </c>
      <c r="G353" t="s">
        <v>428</v>
      </c>
      <c r="H353" t="s">
        <v>429</v>
      </c>
      <c r="I353" t="s">
        <v>430</v>
      </c>
    </row>
    <row r="354" spans="1:9" x14ac:dyDescent="0.55000000000000004">
      <c r="A354" t="s">
        <v>6989</v>
      </c>
      <c r="B354" t="s">
        <v>6752</v>
      </c>
      <c r="C354" s="7" t="str">
        <f>HYPERLINK("[#]Feature_Schema_1!A1330:F1330","AMUSEMENT_PARK_ATTRACTION_C")</f>
        <v>AMUSEMENT_PARK_ATTRACTION_C</v>
      </c>
      <c r="D354" t="s">
        <v>6355</v>
      </c>
      <c r="E354" t="s">
        <v>323</v>
      </c>
      <c r="F354">
        <v>0</v>
      </c>
      <c r="G354" t="s">
        <v>324</v>
      </c>
      <c r="H354" t="s">
        <v>325</v>
      </c>
      <c r="I354" t="s">
        <v>326</v>
      </c>
    </row>
    <row r="355" spans="1:9" x14ac:dyDescent="0.55000000000000004">
      <c r="A355" t="s">
        <v>6989</v>
      </c>
      <c r="B355" t="s">
        <v>6751</v>
      </c>
      <c r="C355" s="7" t="str">
        <f>HYPERLINK("[#]Feature_Schema_1!A1486:F1486","AMUSEMENT_PARK_ATTRACTION_S")</f>
        <v>AMUSEMENT_PARK_ATTRACTION_S</v>
      </c>
      <c r="D355" t="s">
        <v>6355</v>
      </c>
      <c r="E355" t="s">
        <v>323</v>
      </c>
      <c r="F355">
        <v>0</v>
      </c>
      <c r="G355" t="s">
        <v>324</v>
      </c>
      <c r="H355" t="s">
        <v>325</v>
      </c>
      <c r="I355" t="s">
        <v>326</v>
      </c>
    </row>
    <row r="356" spans="1:9" x14ac:dyDescent="0.55000000000000004">
      <c r="A356" t="s">
        <v>6989</v>
      </c>
      <c r="B356" t="s">
        <v>6750</v>
      </c>
      <c r="C356" s="7" t="str">
        <f>HYPERLINK("[#]Feature_Schema_1!A1564:F1564","AMUSEMENT_PARK_P")</f>
        <v>AMUSEMENT_PARK_P</v>
      </c>
      <c r="D356" t="s">
        <v>6356</v>
      </c>
      <c r="E356" t="s">
        <v>327</v>
      </c>
      <c r="F356">
        <v>0</v>
      </c>
      <c r="G356" t="s">
        <v>328</v>
      </c>
      <c r="H356" t="s">
        <v>329</v>
      </c>
      <c r="I356" t="s">
        <v>330</v>
      </c>
    </row>
    <row r="357" spans="1:9" x14ac:dyDescent="0.55000000000000004">
      <c r="A357" t="s">
        <v>6989</v>
      </c>
      <c r="B357" t="s">
        <v>6753</v>
      </c>
      <c r="C357" s="7" t="str">
        <f>HYPERLINK("[#]Feature_Schema_1!A1958:F1958","ANCHORAGE_P")</f>
        <v>ANCHORAGE_P</v>
      </c>
      <c r="D357" t="s">
        <v>6358</v>
      </c>
      <c r="E357" t="s">
        <v>1926</v>
      </c>
      <c r="F357">
        <v>0</v>
      </c>
      <c r="G357" t="s">
        <v>1927</v>
      </c>
      <c r="H357" t="s">
        <v>1928</v>
      </c>
      <c r="I357" t="s">
        <v>1929</v>
      </c>
    </row>
    <row r="358" spans="1:9" x14ac:dyDescent="0.55000000000000004">
      <c r="A358" t="s">
        <v>6989</v>
      </c>
      <c r="B358" t="s">
        <v>6755</v>
      </c>
      <c r="C358" s="7" t="str">
        <f>HYPERLINK("[#]Feature_Schema_1!A2098:F2098","ANNOTATED_LOCATION_C")</f>
        <v>ANNOTATED_LOCATION_C</v>
      </c>
      <c r="D358" t="s">
        <v>6359</v>
      </c>
      <c r="E358" t="s">
        <v>6151</v>
      </c>
      <c r="F358">
        <v>0</v>
      </c>
      <c r="G358" t="s">
        <v>6152</v>
      </c>
      <c r="H358" t="s">
        <v>6153</v>
      </c>
      <c r="I358" t="s">
        <v>6154</v>
      </c>
    </row>
    <row r="359" spans="1:9" x14ac:dyDescent="0.55000000000000004">
      <c r="A359" t="s">
        <v>6989</v>
      </c>
      <c r="B359" t="s">
        <v>6757</v>
      </c>
      <c r="C359" s="7" t="str">
        <f>HYPERLINK("[#]Feature_Schema_1!A2196:F2196","ANNOTATED_LOCATION_S")</f>
        <v>ANNOTATED_LOCATION_S</v>
      </c>
      <c r="D359" t="s">
        <v>6359</v>
      </c>
      <c r="E359" t="s">
        <v>6151</v>
      </c>
      <c r="F359">
        <v>0</v>
      </c>
      <c r="G359" t="s">
        <v>6152</v>
      </c>
      <c r="H359" t="s">
        <v>6153</v>
      </c>
      <c r="I359" t="s">
        <v>6154</v>
      </c>
    </row>
    <row r="360" spans="1:9" x14ac:dyDescent="0.55000000000000004">
      <c r="A360" t="s">
        <v>6989</v>
      </c>
      <c r="B360" t="s">
        <v>6758</v>
      </c>
      <c r="C360" s="7" t="str">
        <f>HYPERLINK("[#]Feature_Schema_1!A2245:F2245","ANTI_AIRCRAFT_ARTILLERY_SITE_P")</f>
        <v>ANTI_AIRCRAFT_ARTILLERY_SITE_P</v>
      </c>
      <c r="D360" t="s">
        <v>6360</v>
      </c>
      <c r="E360" t="s">
        <v>1022</v>
      </c>
      <c r="F360">
        <v>0</v>
      </c>
      <c r="G360" t="s">
        <v>1023</v>
      </c>
      <c r="H360" t="s">
        <v>1024</v>
      </c>
      <c r="I360" t="s">
        <v>1025</v>
      </c>
    </row>
    <row r="361" spans="1:9" x14ac:dyDescent="0.55000000000000004">
      <c r="A361" t="s">
        <v>6989</v>
      </c>
      <c r="B361" t="s">
        <v>6760</v>
      </c>
      <c r="C361" s="7" t="str">
        <f>HYPERLINK("[#]Feature_Schema_1!A2712:F2712","AQUATIC_VEGETATION_P")</f>
        <v>AQUATIC_VEGETATION_P</v>
      </c>
      <c r="D361" t="s">
        <v>6362</v>
      </c>
      <c r="E361" t="s">
        <v>2275</v>
      </c>
      <c r="F361">
        <v>0</v>
      </c>
      <c r="G361" t="s">
        <v>2276</v>
      </c>
      <c r="H361" t="s">
        <v>2277</v>
      </c>
      <c r="I361" t="s">
        <v>2278</v>
      </c>
    </row>
    <row r="362" spans="1:9" x14ac:dyDescent="0.55000000000000004">
      <c r="A362" t="s">
        <v>6989</v>
      </c>
      <c r="B362" t="s">
        <v>6764</v>
      </c>
      <c r="C362" s="7" t="str">
        <f>HYPERLINK("[#]Feature_Schema_1!A3366:F3366","AQUEDUCT_S")</f>
        <v>AQUEDUCT_S</v>
      </c>
      <c r="D362" t="s">
        <v>6364</v>
      </c>
      <c r="E362" t="s">
        <v>2492</v>
      </c>
      <c r="F362">
        <v>0</v>
      </c>
      <c r="G362" t="s">
        <v>2493</v>
      </c>
      <c r="H362" t="s">
        <v>2494</v>
      </c>
      <c r="I362" t="s">
        <v>2495</v>
      </c>
    </row>
    <row r="363" spans="1:9" x14ac:dyDescent="0.55000000000000004">
      <c r="A363" t="s">
        <v>6989</v>
      </c>
      <c r="B363" t="s">
        <v>6766</v>
      </c>
      <c r="C363" s="7" t="str">
        <f>HYPERLINK("[#]Feature_Schema_1!A3967:F3967","ARCADE_C")</f>
        <v>ARCADE_C</v>
      </c>
      <c r="D363" t="s">
        <v>6366</v>
      </c>
      <c r="E363" t="s">
        <v>1750</v>
      </c>
      <c r="F363">
        <v>0</v>
      </c>
      <c r="G363" t="s">
        <v>1751</v>
      </c>
      <c r="H363" t="s">
        <v>1752</v>
      </c>
      <c r="I363" t="s">
        <v>1753</v>
      </c>
    </row>
    <row r="364" spans="1:9" x14ac:dyDescent="0.55000000000000004">
      <c r="A364" t="s">
        <v>6989</v>
      </c>
      <c r="B364" t="s">
        <v>6767</v>
      </c>
      <c r="C364" s="7" t="str">
        <f>HYPERLINK("[#]Feature_Schema_1!A4033:F4033","ARCADE_S")</f>
        <v>ARCADE_S</v>
      </c>
      <c r="D364" t="s">
        <v>6366</v>
      </c>
      <c r="E364" t="s">
        <v>1750</v>
      </c>
      <c r="F364">
        <v>0</v>
      </c>
      <c r="G364" t="s">
        <v>1751</v>
      </c>
      <c r="H364" t="s">
        <v>1752</v>
      </c>
      <c r="I364" t="s">
        <v>1753</v>
      </c>
    </row>
    <row r="365" spans="1:9" x14ac:dyDescent="0.55000000000000004">
      <c r="A365" t="s">
        <v>6989</v>
      </c>
      <c r="B365" t="s">
        <v>6768</v>
      </c>
      <c r="C365" s="7" t="str">
        <f>HYPERLINK("[#]Feature_Schema_1!A4099:F4099","ARCHAEOLOGICAL_SITE_P")</f>
        <v>ARCHAEOLOGICAL_SITE_P</v>
      </c>
      <c r="D365" t="s">
        <v>6367</v>
      </c>
      <c r="E365" t="s">
        <v>471</v>
      </c>
      <c r="F365">
        <v>0</v>
      </c>
      <c r="G365" t="s">
        <v>472</v>
      </c>
      <c r="H365" t="s">
        <v>473</v>
      </c>
      <c r="I365" t="s">
        <v>474</v>
      </c>
    </row>
    <row r="366" spans="1:9" x14ac:dyDescent="0.55000000000000004">
      <c r="A366" t="s">
        <v>6989</v>
      </c>
      <c r="B366" t="s">
        <v>6774</v>
      </c>
      <c r="C366" s="7" t="str">
        <f>HYPERLINK("[#]Feature_Schema_1!A4698:F4698","BARN_S")</f>
        <v>BARN_S</v>
      </c>
      <c r="D366" t="s">
        <v>6370</v>
      </c>
      <c r="E366" t="s">
        <v>293</v>
      </c>
      <c r="F366">
        <v>0</v>
      </c>
      <c r="G366" t="s">
        <v>294</v>
      </c>
      <c r="H366" t="s">
        <v>295</v>
      </c>
      <c r="I366" t="s">
        <v>296</v>
      </c>
    </row>
    <row r="367" spans="1:9" x14ac:dyDescent="0.55000000000000004">
      <c r="A367" t="s">
        <v>6989</v>
      </c>
      <c r="B367" t="s">
        <v>6775</v>
      </c>
      <c r="C367" s="7" t="str">
        <f>HYPERLINK("[#]Feature_Schema_1!A4880:F4880","BASIN_GATE_C")</f>
        <v>BASIN_GATE_C</v>
      </c>
      <c r="D367" t="s">
        <v>6371</v>
      </c>
      <c r="E367" t="s">
        <v>2746</v>
      </c>
      <c r="F367">
        <v>0</v>
      </c>
      <c r="G367" t="s">
        <v>2747</v>
      </c>
      <c r="H367" t="s">
        <v>2748</v>
      </c>
      <c r="I367" t="s">
        <v>2749</v>
      </c>
    </row>
    <row r="368" spans="1:9" x14ac:dyDescent="0.55000000000000004">
      <c r="A368" t="s">
        <v>6989</v>
      </c>
      <c r="B368" t="s">
        <v>6758</v>
      </c>
      <c r="C368" s="7" t="str">
        <f>HYPERLINK("[#]Feature_Schema_1!A5068:F5068","BEACH_LANDING_SITE_P")</f>
        <v>BEACH_LANDING_SITE_P</v>
      </c>
      <c r="D368" t="s">
        <v>6372</v>
      </c>
      <c r="E368" t="s">
        <v>2046</v>
      </c>
      <c r="F368">
        <v>0</v>
      </c>
      <c r="G368" t="s">
        <v>2047</v>
      </c>
      <c r="H368" t="s">
        <v>2048</v>
      </c>
      <c r="I368" t="s">
        <v>2049</v>
      </c>
    </row>
    <row r="369" spans="1:9" x14ac:dyDescent="0.55000000000000004">
      <c r="A369" t="s">
        <v>6989</v>
      </c>
      <c r="B369" t="s">
        <v>6778</v>
      </c>
      <c r="C369" s="7" t="str">
        <f>HYPERLINK("[#]Feature_Schema_1!A5194:F5194","BEACH_S")</f>
        <v>BEACH_S</v>
      </c>
      <c r="D369" t="s">
        <v>6374</v>
      </c>
      <c r="E369" t="s">
        <v>1890</v>
      </c>
      <c r="F369">
        <v>0</v>
      </c>
      <c r="G369" t="s">
        <v>1891</v>
      </c>
      <c r="H369" t="s">
        <v>1892</v>
      </c>
      <c r="I369" t="s">
        <v>1893</v>
      </c>
    </row>
    <row r="370" spans="1:9" x14ac:dyDescent="0.55000000000000004">
      <c r="A370" t="s">
        <v>6989</v>
      </c>
      <c r="B370" t="s">
        <v>6753</v>
      </c>
      <c r="C370" s="7" t="str">
        <f>HYPERLINK("[#]Feature_Schema_1!A5566:F5566","BERTH_P")</f>
        <v>BERTH_P</v>
      </c>
      <c r="D370" t="s">
        <v>6376</v>
      </c>
      <c r="E370" t="s">
        <v>1946</v>
      </c>
      <c r="F370">
        <v>0</v>
      </c>
      <c r="G370" t="s">
        <v>1947</v>
      </c>
      <c r="H370" t="s">
        <v>1948</v>
      </c>
      <c r="I370" t="s">
        <v>1949</v>
      </c>
    </row>
    <row r="371" spans="1:9" x14ac:dyDescent="0.55000000000000004">
      <c r="A371" t="s">
        <v>6989</v>
      </c>
      <c r="B371" t="s">
        <v>6744</v>
      </c>
      <c r="C371" s="7" t="str">
        <f>HYPERLINK("[#]Feature_Schema_1!A5830:F5830","BLAST_FURNACE_S")</f>
        <v>BLAST_FURNACE_S</v>
      </c>
      <c r="D371" t="s">
        <v>6378</v>
      </c>
      <c r="E371" t="s">
        <v>76</v>
      </c>
      <c r="F371">
        <v>0</v>
      </c>
      <c r="G371" t="s">
        <v>77</v>
      </c>
      <c r="H371" t="s">
        <v>78</v>
      </c>
      <c r="I371" t="s">
        <v>79</v>
      </c>
    </row>
    <row r="372" spans="1:9" x14ac:dyDescent="0.55000000000000004">
      <c r="A372" t="s">
        <v>6989</v>
      </c>
      <c r="B372" t="s">
        <v>6761</v>
      </c>
      <c r="C372" s="7" t="str">
        <f>HYPERLINK("[#]Feature_Schema_1!A6461:F6461","BOTTOM_CHARACTER_REGION_S")</f>
        <v>BOTTOM_CHARACTER_REGION_S</v>
      </c>
      <c r="D372" t="s">
        <v>6382</v>
      </c>
      <c r="E372" t="s">
        <v>2450</v>
      </c>
      <c r="F372">
        <v>0</v>
      </c>
      <c r="G372" t="s">
        <v>2451</v>
      </c>
      <c r="H372" t="s">
        <v>2452</v>
      </c>
      <c r="I372" t="s">
        <v>2453</v>
      </c>
    </row>
    <row r="373" spans="1:9" x14ac:dyDescent="0.55000000000000004">
      <c r="A373" t="s">
        <v>6989</v>
      </c>
      <c r="B373" t="s">
        <v>6766</v>
      </c>
      <c r="C373" s="7" t="str">
        <f>HYPERLINK("[#]Feature_Schema_1!A7341:F7341","BRIDGE_PIER_C")</f>
        <v>BRIDGE_PIER_C</v>
      </c>
      <c r="D373" t="s">
        <v>6384</v>
      </c>
      <c r="E373" t="s">
        <v>1630</v>
      </c>
      <c r="F373">
        <v>0</v>
      </c>
      <c r="G373" t="s">
        <v>1631</v>
      </c>
      <c r="H373" t="s">
        <v>1632</v>
      </c>
      <c r="I373" t="s">
        <v>1633</v>
      </c>
    </row>
    <row r="374" spans="1:9" x14ac:dyDescent="0.55000000000000004">
      <c r="A374" t="s">
        <v>6989</v>
      </c>
      <c r="B374" t="s">
        <v>6767</v>
      </c>
      <c r="C374" s="7" t="str">
        <f>HYPERLINK("[#]Feature_Schema_1!A7439:F7439","BRIDGE_PIER_S")</f>
        <v>BRIDGE_PIER_S</v>
      </c>
      <c r="D374" t="s">
        <v>6384</v>
      </c>
      <c r="E374" t="s">
        <v>1630</v>
      </c>
      <c r="F374">
        <v>0</v>
      </c>
      <c r="G374" t="s">
        <v>1631</v>
      </c>
      <c r="H374" t="s">
        <v>1632</v>
      </c>
      <c r="I374" t="s">
        <v>1633</v>
      </c>
    </row>
    <row r="375" spans="1:9" x14ac:dyDescent="0.55000000000000004">
      <c r="A375" t="s">
        <v>6989</v>
      </c>
      <c r="B375" t="s">
        <v>6767</v>
      </c>
      <c r="C375" s="7" t="str">
        <f>HYPERLINK("[#]Feature_Schema_1!A7488:F7488","BRIDGE_S")</f>
        <v>BRIDGE_S</v>
      </c>
      <c r="D375" t="s">
        <v>1530</v>
      </c>
      <c r="E375" t="s">
        <v>1532</v>
      </c>
      <c r="F375">
        <v>0</v>
      </c>
      <c r="G375" t="s">
        <v>1533</v>
      </c>
      <c r="H375" t="s">
        <v>1534</v>
      </c>
      <c r="I375" t="s">
        <v>1531</v>
      </c>
    </row>
    <row r="376" spans="1:9" x14ac:dyDescent="0.55000000000000004">
      <c r="A376" t="s">
        <v>6989</v>
      </c>
      <c r="B376" t="s">
        <v>6766</v>
      </c>
      <c r="C376" s="7" t="str">
        <f>HYPERLINK("[#]Feature_Schema_1!A7736:F7736","BRIDGE_SPAN_C")</f>
        <v>BRIDGE_SPAN_C</v>
      </c>
      <c r="D376" t="s">
        <v>6385</v>
      </c>
      <c r="E376" t="s">
        <v>1618</v>
      </c>
      <c r="F376">
        <v>0</v>
      </c>
      <c r="G376" t="s">
        <v>1619</v>
      </c>
      <c r="H376" t="s">
        <v>1620</v>
      </c>
      <c r="I376" t="s">
        <v>1621</v>
      </c>
    </row>
    <row r="377" spans="1:9" x14ac:dyDescent="0.55000000000000004">
      <c r="A377" t="s">
        <v>6989</v>
      </c>
      <c r="B377" t="s">
        <v>6767</v>
      </c>
      <c r="C377" s="7" t="str">
        <f>HYPERLINK("[#]Feature_Schema_1!A8082:F8082","BRIDGE_SPAN_S")</f>
        <v>BRIDGE_SPAN_S</v>
      </c>
      <c r="D377" t="s">
        <v>6385</v>
      </c>
      <c r="E377" t="s">
        <v>1618</v>
      </c>
      <c r="F377">
        <v>0</v>
      </c>
      <c r="G377" t="s">
        <v>1619</v>
      </c>
      <c r="H377" t="s">
        <v>1620</v>
      </c>
      <c r="I377" t="s">
        <v>1621</v>
      </c>
    </row>
    <row r="378" spans="1:9" x14ac:dyDescent="0.55000000000000004">
      <c r="A378" t="s">
        <v>6989</v>
      </c>
      <c r="B378" t="s">
        <v>6766</v>
      </c>
      <c r="C378" s="7" t="str">
        <f>HYPERLINK("[#]Feature_Schema_1!A8255:F8255","BRIDGE_SUPERSTRUCTURE_C")</f>
        <v>BRIDGE_SUPERSTRUCTURE_C</v>
      </c>
      <c r="D378" t="s">
        <v>6386</v>
      </c>
      <c r="E378" t="s">
        <v>1622</v>
      </c>
      <c r="F378">
        <v>0</v>
      </c>
      <c r="G378" t="s">
        <v>1623</v>
      </c>
      <c r="H378" t="s">
        <v>1624</v>
      </c>
      <c r="I378" t="s">
        <v>1625</v>
      </c>
    </row>
    <row r="379" spans="1:9" x14ac:dyDescent="0.55000000000000004">
      <c r="A379" t="s">
        <v>6989</v>
      </c>
      <c r="B379" t="s">
        <v>6767</v>
      </c>
      <c r="C379" s="7" t="str">
        <f>HYPERLINK("[#]Feature_Schema_1!A8327:F8327","BRIDGE_SUPERSTRUCTURE_S")</f>
        <v>BRIDGE_SUPERSTRUCTURE_S</v>
      </c>
      <c r="D379" t="s">
        <v>6386</v>
      </c>
      <c r="E379" t="s">
        <v>1622</v>
      </c>
      <c r="F379">
        <v>0</v>
      </c>
      <c r="G379" t="s">
        <v>1623</v>
      </c>
      <c r="H379" t="s">
        <v>1624</v>
      </c>
      <c r="I379" t="s">
        <v>1625</v>
      </c>
    </row>
    <row r="380" spans="1:9" x14ac:dyDescent="0.55000000000000004">
      <c r="A380" t="s">
        <v>6989</v>
      </c>
      <c r="B380" t="s">
        <v>6784</v>
      </c>
      <c r="C380" s="7" t="str">
        <f>HYPERLINK("[#]Feature_Schema_1!A11992:F11992","BUILDING_SUPERSTRUCTURE_C")</f>
        <v>BUILDING_SUPERSTRUCTURE_C</v>
      </c>
      <c r="D380" t="s">
        <v>6390</v>
      </c>
      <c r="E380" t="s">
        <v>868</v>
      </c>
      <c r="F380">
        <v>0</v>
      </c>
      <c r="G380" t="s">
        <v>869</v>
      </c>
      <c r="H380" t="s">
        <v>870</v>
      </c>
      <c r="I380" t="s">
        <v>871</v>
      </c>
    </row>
    <row r="381" spans="1:9" x14ac:dyDescent="0.55000000000000004">
      <c r="A381" t="s">
        <v>6989</v>
      </c>
      <c r="B381" t="s">
        <v>6785</v>
      </c>
      <c r="C381" s="7" t="str">
        <f>HYPERLINK("[#]Feature_Schema_1!A12268:F12268","BUILT_UP_AREA_P")</f>
        <v>BUILT_UP_AREA_P</v>
      </c>
      <c r="D381" t="s">
        <v>6391</v>
      </c>
      <c r="E381" t="s">
        <v>875</v>
      </c>
      <c r="F381">
        <v>0</v>
      </c>
      <c r="G381" t="s">
        <v>876</v>
      </c>
      <c r="H381" t="s">
        <v>877</v>
      </c>
      <c r="I381" t="s">
        <v>878</v>
      </c>
    </row>
    <row r="382" spans="1:9" x14ac:dyDescent="0.55000000000000004">
      <c r="A382" t="s">
        <v>6989</v>
      </c>
      <c r="B382" t="s">
        <v>6785</v>
      </c>
      <c r="C382" s="7" t="str">
        <f>HYPERLINK("[#]Feature_Schema_1!A13140:F13140","CAMP_P")</f>
        <v>CAMP_P</v>
      </c>
      <c r="D382" t="s">
        <v>6397</v>
      </c>
      <c r="E382" t="s">
        <v>253</v>
      </c>
      <c r="F382">
        <v>0</v>
      </c>
      <c r="G382" t="s">
        <v>254</v>
      </c>
      <c r="H382" t="s">
        <v>255</v>
      </c>
      <c r="I382" t="s">
        <v>256</v>
      </c>
    </row>
    <row r="383" spans="1:9" x14ac:dyDescent="0.55000000000000004">
      <c r="A383" t="s">
        <v>6989</v>
      </c>
      <c r="B383" t="s">
        <v>6750</v>
      </c>
      <c r="C383" s="7" t="str">
        <f>HYPERLINK("[#]Feature_Schema_1!A13380:F13380","CAMP_SITE_P")</f>
        <v>CAMP_SITE_P</v>
      </c>
      <c r="D383" t="s">
        <v>6398</v>
      </c>
      <c r="E383" t="s">
        <v>343</v>
      </c>
      <c r="F383">
        <v>0</v>
      </c>
      <c r="G383" t="s">
        <v>344</v>
      </c>
      <c r="H383" t="s">
        <v>345</v>
      </c>
      <c r="I383" t="s">
        <v>346</v>
      </c>
    </row>
    <row r="384" spans="1:9" x14ac:dyDescent="0.55000000000000004">
      <c r="A384" t="s">
        <v>6989</v>
      </c>
      <c r="B384" t="s">
        <v>6790</v>
      </c>
      <c r="C384" s="7" t="str">
        <f>HYPERLINK("[#]Feature_Schema_1!A14061:F14061","CASTLE_P")</f>
        <v>CASTLE_P</v>
      </c>
      <c r="D384" t="s">
        <v>6404</v>
      </c>
      <c r="E384" t="s">
        <v>1179</v>
      </c>
      <c r="F384">
        <v>0</v>
      </c>
      <c r="G384" t="s">
        <v>497</v>
      </c>
      <c r="H384" t="s">
        <v>1180</v>
      </c>
      <c r="I384" t="s">
        <v>1181</v>
      </c>
    </row>
    <row r="385" spans="1:9" x14ac:dyDescent="0.55000000000000004">
      <c r="A385" t="s">
        <v>6989</v>
      </c>
      <c r="B385" t="s">
        <v>6789</v>
      </c>
      <c r="C385" s="7" t="str">
        <f>HYPERLINK("[#]Feature_Schema_1!A14215:F14215","CASTLE_S")</f>
        <v>CASTLE_S</v>
      </c>
      <c r="D385" t="s">
        <v>6404</v>
      </c>
      <c r="E385" t="s">
        <v>1179</v>
      </c>
      <c r="F385">
        <v>0</v>
      </c>
      <c r="G385" t="s">
        <v>497</v>
      </c>
      <c r="H385" t="s">
        <v>1180</v>
      </c>
      <c r="I385" t="s">
        <v>1181</v>
      </c>
    </row>
    <row r="386" spans="1:9" x14ac:dyDescent="0.55000000000000004">
      <c r="A386" t="s">
        <v>6989</v>
      </c>
      <c r="B386" t="s">
        <v>6744</v>
      </c>
      <c r="C386" s="7" t="str">
        <f>HYPERLINK("[#]Feature_Schema_1!A14471:F14471","CATALYTIC_CRACKER_S")</f>
        <v>CATALYTIC_CRACKER_S</v>
      </c>
      <c r="D386" t="s">
        <v>6405</v>
      </c>
      <c r="E386" t="s">
        <v>80</v>
      </c>
      <c r="F386">
        <v>0</v>
      </c>
      <c r="G386" t="s">
        <v>81</v>
      </c>
      <c r="H386" t="s">
        <v>82</v>
      </c>
      <c r="I386" t="s">
        <v>83</v>
      </c>
    </row>
    <row r="387" spans="1:9" x14ac:dyDescent="0.55000000000000004">
      <c r="A387" t="s">
        <v>6989</v>
      </c>
      <c r="B387" t="s">
        <v>6767</v>
      </c>
      <c r="C387" s="7" t="str">
        <f>HYPERLINK("[#]Feature_Schema_1!A14722:F14722","CAUSEWAY_STRUCTURE_S")</f>
        <v>CAUSEWAY_STRUCTURE_S</v>
      </c>
      <c r="D387" t="s">
        <v>6406</v>
      </c>
      <c r="E387" t="s">
        <v>1646</v>
      </c>
      <c r="F387">
        <v>0</v>
      </c>
      <c r="G387" t="s">
        <v>1647</v>
      </c>
      <c r="H387" t="s">
        <v>1648</v>
      </c>
      <c r="I387" t="s">
        <v>1649</v>
      </c>
    </row>
    <row r="388" spans="1:9" x14ac:dyDescent="0.55000000000000004">
      <c r="A388" t="s">
        <v>6989</v>
      </c>
      <c r="B388" t="s">
        <v>6768</v>
      </c>
      <c r="C388" s="7" t="str">
        <f>HYPERLINK("[#]Feature_Schema_1!A15063:F15063","CEMETERY_P")</f>
        <v>CEMETERY_P</v>
      </c>
      <c r="D388" t="s">
        <v>6409</v>
      </c>
      <c r="E388" t="s">
        <v>891</v>
      </c>
      <c r="F388">
        <v>0</v>
      </c>
      <c r="G388" t="s">
        <v>892</v>
      </c>
      <c r="H388" t="s">
        <v>893</v>
      </c>
      <c r="I388" t="s">
        <v>894</v>
      </c>
    </row>
    <row r="389" spans="1:9" x14ac:dyDescent="0.55000000000000004">
      <c r="A389" t="s">
        <v>6989</v>
      </c>
      <c r="B389" t="s">
        <v>6793</v>
      </c>
      <c r="C389" s="7" t="str">
        <f>HYPERLINK("[#]Feature_Schema_1!A15773:F15773","CLEARED_WAY_C")</f>
        <v>CLEARED_WAY_C</v>
      </c>
      <c r="D389" t="s">
        <v>6413</v>
      </c>
      <c r="E389" t="s">
        <v>3328</v>
      </c>
      <c r="F389">
        <v>0</v>
      </c>
      <c r="G389" t="s">
        <v>3329</v>
      </c>
      <c r="H389" t="s">
        <v>3330</v>
      </c>
      <c r="I389" t="s">
        <v>3331</v>
      </c>
    </row>
    <row r="390" spans="1:9" x14ac:dyDescent="0.55000000000000004">
      <c r="A390" t="s">
        <v>6989</v>
      </c>
      <c r="B390" t="s">
        <v>6768</v>
      </c>
      <c r="C390" s="7" t="str">
        <f>HYPERLINK("[#]Feature_Schema_1!A15937:F15937","CONTAMINATED_REGION_P")</f>
        <v>CONTAMINATED_REGION_P</v>
      </c>
      <c r="D390" t="s">
        <v>6416</v>
      </c>
      <c r="E390" t="s">
        <v>3445</v>
      </c>
      <c r="F390">
        <v>0</v>
      </c>
      <c r="G390" t="s">
        <v>3446</v>
      </c>
      <c r="H390" t="s">
        <v>3447</v>
      </c>
      <c r="I390" t="s">
        <v>3448</v>
      </c>
    </row>
    <row r="391" spans="1:9" x14ac:dyDescent="0.55000000000000004">
      <c r="A391" t="s">
        <v>6989</v>
      </c>
      <c r="B391" t="s">
        <v>6749</v>
      </c>
      <c r="C391" s="7" t="str">
        <f>HYPERLINK("[#]Feature_Schema_1!A16279:F16279","CONTROL_TOWER_S")</f>
        <v>CONTROL_TOWER_S</v>
      </c>
      <c r="D391" t="s">
        <v>6417</v>
      </c>
      <c r="E391" t="s">
        <v>1638</v>
      </c>
      <c r="F391">
        <v>0</v>
      </c>
      <c r="G391" t="s">
        <v>1639</v>
      </c>
      <c r="H391" t="s">
        <v>1640</v>
      </c>
      <c r="I391" t="s">
        <v>1641</v>
      </c>
    </row>
    <row r="392" spans="1:9" x14ac:dyDescent="0.55000000000000004">
      <c r="A392" t="s">
        <v>6989</v>
      </c>
      <c r="B392" t="s">
        <v>6794</v>
      </c>
      <c r="C392" s="7" t="str">
        <f>HYPERLINK("[#]Feature_Schema_1!A16511:F16511","CONVEYOR_C")</f>
        <v>CONVEYOR_C</v>
      </c>
      <c r="D392" t="s">
        <v>6418</v>
      </c>
      <c r="E392" t="s">
        <v>177</v>
      </c>
      <c r="F392">
        <v>0</v>
      </c>
      <c r="G392" t="s">
        <v>178</v>
      </c>
      <c r="H392" t="s">
        <v>179</v>
      </c>
      <c r="I392" t="s">
        <v>180</v>
      </c>
    </row>
    <row r="393" spans="1:9" x14ac:dyDescent="0.55000000000000004">
      <c r="A393" t="s">
        <v>6989</v>
      </c>
      <c r="B393" t="s">
        <v>6745</v>
      </c>
      <c r="C393" s="7" t="str">
        <f>HYPERLINK("[#]Feature_Schema_1!A16763:F16763","COOLING_FACILITY_P")</f>
        <v>COOLING_FACILITY_P</v>
      </c>
      <c r="D393" t="s">
        <v>6419</v>
      </c>
      <c r="E393" t="s">
        <v>161</v>
      </c>
      <c r="F393">
        <v>0</v>
      </c>
      <c r="G393" t="s">
        <v>162</v>
      </c>
      <c r="H393" t="s">
        <v>163</v>
      </c>
      <c r="I393" t="s">
        <v>164</v>
      </c>
    </row>
    <row r="394" spans="1:9" x14ac:dyDescent="0.55000000000000004">
      <c r="A394" t="s">
        <v>6989</v>
      </c>
      <c r="B394" t="s">
        <v>6746</v>
      </c>
      <c r="C394" s="7" t="str">
        <f>HYPERLINK("[#]Feature_Schema_1!A17041:F17041","COOLING_TOWER_S")</f>
        <v>COOLING_TOWER_S</v>
      </c>
      <c r="D394" t="s">
        <v>6420</v>
      </c>
    </row>
    <row r="395" spans="1:9" x14ac:dyDescent="0.55000000000000004">
      <c r="A395" t="s">
        <v>6989</v>
      </c>
      <c r="B395" t="s">
        <v>6744</v>
      </c>
      <c r="C395" s="7" t="str">
        <f>HYPERLINK("[#]Feature_Schema_1!A17363:F17363","CRANE_S")</f>
        <v>CRANE_S</v>
      </c>
      <c r="D395" t="s">
        <v>6422</v>
      </c>
    </row>
    <row r="396" spans="1:9" x14ac:dyDescent="0.55000000000000004">
      <c r="A396" t="s">
        <v>6989</v>
      </c>
      <c r="B396" t="s">
        <v>6795</v>
      </c>
      <c r="C396" s="7" t="str">
        <f>HYPERLINK("[#]Feature_Schema_1!A17497:F17497","CRATER_P")</f>
        <v>CRATER_P</v>
      </c>
      <c r="D396" t="s">
        <v>6423</v>
      </c>
      <c r="E396" t="s">
        <v>2982</v>
      </c>
      <c r="F396">
        <v>0</v>
      </c>
      <c r="G396" t="s">
        <v>2983</v>
      </c>
      <c r="H396" t="s">
        <v>2984</v>
      </c>
      <c r="I396" t="s">
        <v>2985</v>
      </c>
    </row>
    <row r="397" spans="1:9" x14ac:dyDescent="0.55000000000000004">
      <c r="A397" t="s">
        <v>6989</v>
      </c>
      <c r="B397" t="s">
        <v>6770</v>
      </c>
      <c r="C397" s="7" t="str">
        <f>HYPERLINK("[#]Feature_Schema_1!A17617:F17617","CREVASSE_S")</f>
        <v>CREVASSE_S</v>
      </c>
      <c r="D397" t="s">
        <v>6424</v>
      </c>
    </row>
    <row r="398" spans="1:9" x14ac:dyDescent="0.55000000000000004">
      <c r="A398" t="s">
        <v>6989</v>
      </c>
      <c r="B398" t="s">
        <v>6770</v>
      </c>
      <c r="C398" s="7" t="str">
        <f>HYPERLINK("[#]Feature_Schema_1!A17712:F17712","CREVICE_S")</f>
        <v>CREVICE_S</v>
      </c>
      <c r="D398" t="s">
        <v>6425</v>
      </c>
      <c r="E398" t="s">
        <v>2915</v>
      </c>
      <c r="F398">
        <v>0</v>
      </c>
      <c r="G398" t="s">
        <v>2912</v>
      </c>
      <c r="H398" t="s">
        <v>2916</v>
      </c>
      <c r="I398" t="s">
        <v>2917</v>
      </c>
    </row>
    <row r="399" spans="1:9" x14ac:dyDescent="0.55000000000000004">
      <c r="A399" t="s">
        <v>6989</v>
      </c>
      <c r="B399" t="s">
        <v>6761</v>
      </c>
      <c r="C399" s="7" t="str">
        <f>HYPERLINK("[#]Feature_Schema_1!A17884:F17884","CRIB_S")</f>
        <v>CRIB_S</v>
      </c>
      <c r="D399" t="s">
        <v>6426</v>
      </c>
      <c r="E399" t="s">
        <v>2255</v>
      </c>
      <c r="F399">
        <v>0</v>
      </c>
      <c r="G399" t="s">
        <v>2256</v>
      </c>
      <c r="H399" t="s">
        <v>2257</v>
      </c>
      <c r="I399" t="s">
        <v>2258</v>
      </c>
    </row>
    <row r="400" spans="1:9" x14ac:dyDescent="0.55000000000000004">
      <c r="A400" t="s">
        <v>6989</v>
      </c>
      <c r="B400" t="s">
        <v>6798</v>
      </c>
      <c r="C400" s="7" t="str">
        <f>HYPERLINK("[#]Feature_Schema_1!A18336:F18336","CULTURAL_CONTEXT_LOCATION_S")</f>
        <v>CULTURAL_CONTEXT_LOCATION_S</v>
      </c>
      <c r="D400" t="s">
        <v>6429</v>
      </c>
      <c r="E400" t="s">
        <v>6072</v>
      </c>
      <c r="F400">
        <v>0</v>
      </c>
      <c r="G400" t="s">
        <v>6073</v>
      </c>
      <c r="H400" t="s">
        <v>6074</v>
      </c>
      <c r="I400" t="s">
        <v>6075</v>
      </c>
    </row>
    <row r="401" spans="1:9" x14ac:dyDescent="0.55000000000000004">
      <c r="A401" t="s">
        <v>6989</v>
      </c>
      <c r="B401" t="s">
        <v>6783</v>
      </c>
      <c r="C401" s="7" t="str">
        <f>HYPERLINK("[#]Feature_Schema_1!A18478:F18478","CULVERT_P")</f>
        <v>CULVERT_P</v>
      </c>
      <c r="D401" t="s">
        <v>6430</v>
      </c>
      <c r="E401" t="s">
        <v>1654</v>
      </c>
      <c r="F401">
        <v>0</v>
      </c>
      <c r="G401" t="s">
        <v>1655</v>
      </c>
      <c r="H401" t="s">
        <v>1656</v>
      </c>
      <c r="I401" t="s">
        <v>1657</v>
      </c>
    </row>
    <row r="402" spans="1:9" x14ac:dyDescent="0.55000000000000004">
      <c r="A402" t="s">
        <v>6989</v>
      </c>
      <c r="B402" t="s">
        <v>6792</v>
      </c>
      <c r="C402" s="7" t="str">
        <f>HYPERLINK("[#]Feature_Schema_1!A18896:F18896","DAM_P")</f>
        <v>DAM_P</v>
      </c>
      <c r="D402" t="s">
        <v>6433</v>
      </c>
      <c r="E402" t="s">
        <v>2703</v>
      </c>
      <c r="F402">
        <v>0</v>
      </c>
      <c r="G402" t="s">
        <v>2704</v>
      </c>
      <c r="H402" t="s">
        <v>2705</v>
      </c>
      <c r="I402" t="s">
        <v>2706</v>
      </c>
    </row>
    <row r="403" spans="1:9" x14ac:dyDescent="0.55000000000000004">
      <c r="A403" t="s">
        <v>6989</v>
      </c>
      <c r="B403" t="s">
        <v>6764</v>
      </c>
      <c r="C403" s="7" t="str">
        <f>HYPERLINK("[#]Feature_Schema_1!A19097:F19097","DAM_S")</f>
        <v>DAM_S</v>
      </c>
      <c r="D403" t="s">
        <v>6433</v>
      </c>
      <c r="E403" t="s">
        <v>2703</v>
      </c>
      <c r="F403">
        <v>0</v>
      </c>
      <c r="G403" t="s">
        <v>2704</v>
      </c>
      <c r="H403" t="s">
        <v>2705</v>
      </c>
      <c r="I403" t="s">
        <v>2706</v>
      </c>
    </row>
    <row r="404" spans="1:9" x14ac:dyDescent="0.55000000000000004">
      <c r="A404" t="s">
        <v>6989</v>
      </c>
      <c r="B404" s="9" t="s">
        <v>6799</v>
      </c>
      <c r="C404" s="8" t="str">
        <f>HYPERLINK("[#]Feature_Schema_1!A19298:F19298","DATASET_S")</f>
        <v>DATASET_S</v>
      </c>
      <c r="D404" s="9" t="s">
        <v>6434</v>
      </c>
      <c r="E404" t="s">
        <v>6267</v>
      </c>
      <c r="F404">
        <v>0</v>
      </c>
      <c r="G404" t="s">
        <v>6268</v>
      </c>
      <c r="H404" t="s">
        <v>6269</v>
      </c>
      <c r="I404" t="s">
        <v>6270</v>
      </c>
    </row>
    <row r="405" spans="1:9" x14ac:dyDescent="0.55000000000000004">
      <c r="A405" t="s">
        <v>6989</v>
      </c>
      <c r="B405" t="s">
        <v>6800</v>
      </c>
      <c r="C405" s="7" t="str">
        <f>HYPERLINK("[#]Feature_Schema_1!A19382:F19382","DEFENSIVE_REVETMENT_C")</f>
        <v>DEFENSIVE_REVETMENT_C</v>
      </c>
      <c r="D405" t="s">
        <v>6435</v>
      </c>
      <c r="E405" t="s">
        <v>3782</v>
      </c>
      <c r="F405">
        <v>0</v>
      </c>
      <c r="G405" t="s">
        <v>3783</v>
      </c>
      <c r="H405" t="s">
        <v>3784</v>
      </c>
      <c r="I405" t="s">
        <v>3785</v>
      </c>
    </row>
    <row r="406" spans="1:9" x14ac:dyDescent="0.55000000000000004">
      <c r="A406" t="s">
        <v>6989</v>
      </c>
      <c r="B406" t="s">
        <v>6770</v>
      </c>
      <c r="C406" s="7" t="str">
        <f>HYPERLINK("[#]Feature_Schema_1!A19524:F19524","DEPRESSION_S")</f>
        <v>DEPRESSION_S</v>
      </c>
      <c r="D406" t="s">
        <v>6436</v>
      </c>
      <c r="E406" t="s">
        <v>2930</v>
      </c>
      <c r="F406">
        <v>0</v>
      </c>
      <c r="G406" t="s">
        <v>2931</v>
      </c>
      <c r="H406" t="s">
        <v>2932</v>
      </c>
      <c r="I406" t="s">
        <v>2933</v>
      </c>
    </row>
    <row r="407" spans="1:9" x14ac:dyDescent="0.55000000000000004">
      <c r="A407" t="s">
        <v>6989</v>
      </c>
      <c r="B407" t="s">
        <v>6760</v>
      </c>
      <c r="C407" s="7" t="str">
        <f>HYPERLINK("[#]Feature_Schema_1!A19896:F19896","DISCOLOURED_WATER_P")</f>
        <v>DISCOLOURED_WATER_P</v>
      </c>
      <c r="D407" t="s">
        <v>6441</v>
      </c>
      <c r="E407" t="s">
        <v>2259</v>
      </c>
      <c r="F407">
        <v>0</v>
      </c>
      <c r="G407" t="s">
        <v>2260</v>
      </c>
      <c r="H407" t="s">
        <v>2261</v>
      </c>
      <c r="I407" t="s">
        <v>2262</v>
      </c>
    </row>
    <row r="408" spans="1:9" x14ac:dyDescent="0.55000000000000004">
      <c r="A408" t="s">
        <v>6989</v>
      </c>
      <c r="B408" t="s">
        <v>6744</v>
      </c>
      <c r="C408" s="7" t="str">
        <f>HYPERLINK("[#]Feature_Schema_1!A20133:F20133","DISPOSAL_SITE_S")</f>
        <v>DISPOSAL_SITE_S</v>
      </c>
      <c r="D408" t="s">
        <v>6443</v>
      </c>
    </row>
    <row r="409" spans="1:9" x14ac:dyDescent="0.55000000000000004">
      <c r="A409" t="s">
        <v>6989</v>
      </c>
      <c r="B409" t="s">
        <v>6764</v>
      </c>
      <c r="C409" s="7" t="str">
        <f>HYPERLINK("[#]Feature_Schema_1!A20982:F20982","DITCH_S")</f>
        <v>DITCH_S</v>
      </c>
      <c r="D409" t="s">
        <v>6446</v>
      </c>
      <c r="E409" t="s">
        <v>2512</v>
      </c>
      <c r="F409">
        <v>0</v>
      </c>
      <c r="G409" t="s">
        <v>2513</v>
      </c>
      <c r="H409" t="s">
        <v>2514</v>
      </c>
      <c r="I409" t="s">
        <v>2515</v>
      </c>
    </row>
    <row r="410" spans="1:9" x14ac:dyDescent="0.55000000000000004">
      <c r="A410" t="s">
        <v>6989</v>
      </c>
      <c r="B410" t="s">
        <v>6800</v>
      </c>
      <c r="C410" s="7" t="str">
        <f>HYPERLINK("[#]Feature_Schema_1!A21499:F21499","DRAGONS_TEETH_C")</f>
        <v>DRAGONS_TEETH_C</v>
      </c>
      <c r="D410" t="s">
        <v>6448</v>
      </c>
      <c r="E410" t="s">
        <v>915</v>
      </c>
      <c r="F410">
        <v>0</v>
      </c>
      <c r="G410" t="s">
        <v>916</v>
      </c>
      <c r="H410" t="s">
        <v>917</v>
      </c>
      <c r="I410" t="s">
        <v>918</v>
      </c>
    </row>
    <row r="411" spans="1:9" x14ac:dyDescent="0.55000000000000004">
      <c r="A411" t="s">
        <v>6989</v>
      </c>
      <c r="B411" t="s">
        <v>6789</v>
      </c>
      <c r="C411" s="7" t="str">
        <f>HYPERLINK("[#]Feature_Schema_1!A21567:F21567","DRAGONS_TEETH_S")</f>
        <v>DRAGONS_TEETH_S</v>
      </c>
      <c r="D411" t="s">
        <v>6448</v>
      </c>
      <c r="E411" t="s">
        <v>915</v>
      </c>
      <c r="F411">
        <v>0</v>
      </c>
      <c r="G411" t="s">
        <v>916</v>
      </c>
      <c r="H411" t="s">
        <v>917</v>
      </c>
      <c r="I411" t="s">
        <v>918</v>
      </c>
    </row>
    <row r="412" spans="1:9" x14ac:dyDescent="0.55000000000000004">
      <c r="A412" t="s">
        <v>6989</v>
      </c>
      <c r="B412" t="s">
        <v>6745</v>
      </c>
      <c r="C412" s="7" t="str">
        <f>HYPERLINK("[#]Feature_Schema_1!A22113:F22113","ELECTRIC_POWER_STATION_P")</f>
        <v>ELECTRIC_POWER_STATION_P</v>
      </c>
      <c r="D412" t="s">
        <v>108</v>
      </c>
      <c r="E412" t="s">
        <v>110</v>
      </c>
      <c r="F412">
        <v>0</v>
      </c>
      <c r="G412" t="s">
        <v>111</v>
      </c>
      <c r="H412" t="s">
        <v>112</v>
      </c>
      <c r="I412" t="s">
        <v>109</v>
      </c>
    </row>
    <row r="413" spans="1:9" x14ac:dyDescent="0.55000000000000004">
      <c r="A413" t="s">
        <v>6989</v>
      </c>
      <c r="B413" t="s">
        <v>6770</v>
      </c>
      <c r="C413" s="7" t="str">
        <f>HYPERLINK("[#]Feature_Schema_1!A22598:F22598","EMBANKMENT_S")</f>
        <v>EMBANKMENT_S</v>
      </c>
      <c r="D413" t="s">
        <v>6454</v>
      </c>
      <c r="E413" t="s">
        <v>2934</v>
      </c>
      <c r="F413">
        <v>0</v>
      </c>
      <c r="G413" t="s">
        <v>2935</v>
      </c>
      <c r="H413" t="s">
        <v>2936</v>
      </c>
      <c r="I413" t="s">
        <v>2937</v>
      </c>
    </row>
    <row r="414" spans="1:9" x14ac:dyDescent="0.55000000000000004">
      <c r="A414" t="s">
        <v>6989</v>
      </c>
      <c r="B414" t="s">
        <v>6794</v>
      </c>
      <c r="C414" s="7" t="str">
        <f>HYPERLINK("[#]Feature_Schema_1!A23284:F23284","EXCAVATING_MACHINE_C")</f>
        <v>EXCAVATING_MACHINE_C</v>
      </c>
      <c r="D414" t="s">
        <v>6460</v>
      </c>
      <c r="E414" t="s">
        <v>197</v>
      </c>
      <c r="F414">
        <v>0</v>
      </c>
      <c r="G414" t="s">
        <v>198</v>
      </c>
      <c r="H414" t="s">
        <v>199</v>
      </c>
      <c r="I414" t="s">
        <v>200</v>
      </c>
    </row>
    <row r="415" spans="1:9" x14ac:dyDescent="0.55000000000000004">
      <c r="A415" t="s">
        <v>6989</v>
      </c>
      <c r="B415" t="s">
        <v>6780</v>
      </c>
      <c r="C415" s="7" t="str">
        <f>HYPERLINK("[#]Feature_Schema_1!A23422:F23422","EXTRACTION_MINE_P")</f>
        <v>EXTRACTION_MINE_P</v>
      </c>
      <c r="D415" t="s">
        <v>6461</v>
      </c>
      <c r="E415" t="s">
        <v>5</v>
      </c>
      <c r="F415">
        <v>0</v>
      </c>
      <c r="G415" t="s">
        <v>6</v>
      </c>
      <c r="H415" t="s">
        <v>7</v>
      </c>
      <c r="I415" t="s">
        <v>8</v>
      </c>
    </row>
    <row r="416" spans="1:9" x14ac:dyDescent="0.55000000000000004">
      <c r="A416" t="s">
        <v>6989</v>
      </c>
      <c r="B416" t="s">
        <v>6806</v>
      </c>
      <c r="C416" s="7" t="str">
        <f>HYPERLINK("[#]Feature_Schema_1!A23918:F23918","FACILITY_P")</f>
        <v>FACILITY_P</v>
      </c>
      <c r="D416" t="s">
        <v>6462</v>
      </c>
      <c r="E416" t="s">
        <v>463</v>
      </c>
      <c r="F416">
        <v>0</v>
      </c>
      <c r="G416" t="s">
        <v>464</v>
      </c>
      <c r="H416" t="s">
        <v>465</v>
      </c>
      <c r="I416" t="s">
        <v>466</v>
      </c>
    </row>
    <row r="417" spans="1:9" x14ac:dyDescent="0.55000000000000004">
      <c r="A417" t="s">
        <v>6989</v>
      </c>
      <c r="B417" t="s">
        <v>6775</v>
      </c>
      <c r="C417" s="7" t="str">
        <f>HYPERLINK("[#]Feature_Schema_1!A27384:F27384","FERRY_CROSSING_C")</f>
        <v>FERRY_CROSSING_C</v>
      </c>
      <c r="D417" t="s">
        <v>6465</v>
      </c>
      <c r="E417" t="s">
        <v>1662</v>
      </c>
      <c r="F417">
        <v>0</v>
      </c>
      <c r="G417" t="s">
        <v>1663</v>
      </c>
      <c r="H417" t="s">
        <v>1664</v>
      </c>
      <c r="I417" t="s">
        <v>1665</v>
      </c>
    </row>
    <row r="418" spans="1:9" x14ac:dyDescent="0.55000000000000004">
      <c r="A418" t="s">
        <v>6989</v>
      </c>
      <c r="B418" t="s">
        <v>6809</v>
      </c>
      <c r="C418" s="7" t="str">
        <f>HYPERLINK("[#]Feature_Schema_1!A27851:F27851","FERRY_STATION_S")</f>
        <v>FERRY_STATION_S</v>
      </c>
      <c r="D418" t="s">
        <v>6466</v>
      </c>
      <c r="E418" t="s">
        <v>1670</v>
      </c>
      <c r="F418">
        <v>0</v>
      </c>
      <c r="G418" t="s">
        <v>1671</v>
      </c>
      <c r="H418" t="s">
        <v>1672</v>
      </c>
      <c r="I418" t="s">
        <v>1673</v>
      </c>
    </row>
    <row r="419" spans="1:9" x14ac:dyDescent="0.55000000000000004">
      <c r="A419" t="s">
        <v>6989</v>
      </c>
      <c r="B419" t="s">
        <v>6745</v>
      </c>
      <c r="C419" s="7" t="str">
        <f>HYPERLINK("[#]Feature_Schema_1!A28072:F28072","FIRE_HYDRANT_P")</f>
        <v>FIRE_HYDRANT_P</v>
      </c>
      <c r="D419" t="s">
        <v>6467</v>
      </c>
      <c r="E419" t="s">
        <v>864</v>
      </c>
      <c r="F419">
        <v>0</v>
      </c>
      <c r="G419" t="s">
        <v>865</v>
      </c>
      <c r="H419" t="s">
        <v>866</v>
      </c>
      <c r="I419" t="s">
        <v>867</v>
      </c>
    </row>
    <row r="420" spans="1:9" x14ac:dyDescent="0.55000000000000004">
      <c r="A420" t="s">
        <v>6989</v>
      </c>
      <c r="B420" t="s">
        <v>6790</v>
      </c>
      <c r="C420" s="7" t="str">
        <f>HYPERLINK("[#]Feature_Schema_1!A28182:F28182","FIRING_RANGE_P")</f>
        <v>FIRING_RANGE_P</v>
      </c>
      <c r="D420" t="s">
        <v>6468</v>
      </c>
      <c r="E420" t="s">
        <v>3449</v>
      </c>
      <c r="F420">
        <v>0</v>
      </c>
      <c r="G420" t="s">
        <v>582</v>
      </c>
      <c r="H420" t="s">
        <v>3450</v>
      </c>
      <c r="I420" t="s">
        <v>3451</v>
      </c>
    </row>
    <row r="421" spans="1:9" x14ac:dyDescent="0.55000000000000004">
      <c r="A421" t="s">
        <v>6989</v>
      </c>
      <c r="B421" t="s">
        <v>6773</v>
      </c>
      <c r="C421" s="7" t="str">
        <f>HYPERLINK("[#]Feature_Schema_1!A28432:F28432","FISH_FARM_FACILITY_P")</f>
        <v>FISH_FARM_FACILITY_P</v>
      </c>
      <c r="D421" t="s">
        <v>6469</v>
      </c>
      <c r="E421" t="s">
        <v>2528</v>
      </c>
      <c r="F421">
        <v>0</v>
      </c>
      <c r="G421" t="s">
        <v>2529</v>
      </c>
      <c r="H421" t="s">
        <v>2530</v>
      </c>
      <c r="I421" t="s">
        <v>2531</v>
      </c>
    </row>
    <row r="422" spans="1:9" x14ac:dyDescent="0.55000000000000004">
      <c r="A422" t="s">
        <v>6989</v>
      </c>
      <c r="B422" t="s">
        <v>6792</v>
      </c>
      <c r="C422" s="7" t="str">
        <f>HYPERLINK("[#]Feature_Schema_1!A28857:F28857","FISH_WEIR_P")</f>
        <v>FISH_WEIR_P</v>
      </c>
      <c r="D422" t="s">
        <v>6471</v>
      </c>
      <c r="E422" t="s">
        <v>2022</v>
      </c>
      <c r="F422">
        <v>0</v>
      </c>
      <c r="G422" t="s">
        <v>2023</v>
      </c>
      <c r="H422" t="s">
        <v>2024</v>
      </c>
      <c r="I422" t="s">
        <v>2025</v>
      </c>
    </row>
    <row r="423" spans="1:9" x14ac:dyDescent="0.55000000000000004">
      <c r="A423" t="s">
        <v>6989</v>
      </c>
      <c r="B423" t="s">
        <v>6764</v>
      </c>
      <c r="C423" s="7" t="str">
        <f>HYPERLINK("[#]Feature_Schema_1!A28916:F28916","FISH_WEIR_S")</f>
        <v>FISH_WEIR_S</v>
      </c>
      <c r="D423" t="s">
        <v>6471</v>
      </c>
    </row>
    <row r="424" spans="1:9" x14ac:dyDescent="0.55000000000000004">
      <c r="A424" t="s">
        <v>6989</v>
      </c>
      <c r="B424" t="s">
        <v>6801</v>
      </c>
      <c r="C424" s="7" t="str">
        <f>HYPERLINK("[#]Feature_Schema_1!A28975:F28975","FISHING_STAKES_C")</f>
        <v>FISHING_STAKES_C</v>
      </c>
      <c r="D424" t="s">
        <v>6472</v>
      </c>
      <c r="E424" t="s">
        <v>2014</v>
      </c>
      <c r="F424">
        <v>0</v>
      </c>
      <c r="G424" t="s">
        <v>2015</v>
      </c>
      <c r="H424" t="s">
        <v>2016</v>
      </c>
      <c r="I424" t="s">
        <v>2017</v>
      </c>
    </row>
    <row r="425" spans="1:9" x14ac:dyDescent="0.55000000000000004">
      <c r="A425" t="s">
        <v>6989</v>
      </c>
      <c r="B425" t="s">
        <v>6803</v>
      </c>
      <c r="C425" s="7" t="str">
        <f>HYPERLINK("[#]Feature_Schema_1!A29163:F29163","FLOATING_DRY_DOCK_S")</f>
        <v>FLOATING_DRY_DOCK_S</v>
      </c>
      <c r="D425" t="s">
        <v>6475</v>
      </c>
      <c r="E425" t="s">
        <v>2093</v>
      </c>
      <c r="F425">
        <v>0</v>
      </c>
      <c r="G425" t="s">
        <v>2094</v>
      </c>
      <c r="H425" t="s">
        <v>2095</v>
      </c>
      <c r="I425" t="s">
        <v>2096</v>
      </c>
    </row>
    <row r="426" spans="1:9" x14ac:dyDescent="0.55000000000000004">
      <c r="A426" t="s">
        <v>6989</v>
      </c>
      <c r="B426" t="s">
        <v>6792</v>
      </c>
      <c r="C426" s="7" t="str">
        <f>HYPERLINK("[#]Feature_Schema_1!A29348:F29348","FLOOD_CONTROL_STRUCTURE_P")</f>
        <v>FLOOD_CONTROL_STRUCTURE_P</v>
      </c>
      <c r="D426" t="s">
        <v>6476</v>
      </c>
      <c r="E426" t="s">
        <v>2742</v>
      </c>
      <c r="F426">
        <v>0</v>
      </c>
      <c r="G426" t="s">
        <v>2743</v>
      </c>
      <c r="H426" t="s">
        <v>2744</v>
      </c>
      <c r="I426" t="s">
        <v>2745</v>
      </c>
    </row>
    <row r="427" spans="1:9" x14ac:dyDescent="0.55000000000000004">
      <c r="A427" t="s">
        <v>6989</v>
      </c>
      <c r="B427" t="s">
        <v>6764</v>
      </c>
      <c r="C427" s="7" t="str">
        <f>HYPERLINK("[#]Feature_Schema_1!A29455:F29455","FLOOD_CONTROL_STRUCTURE_S")</f>
        <v>FLOOD_CONTROL_STRUCTURE_S</v>
      </c>
      <c r="D427" t="s">
        <v>6476</v>
      </c>
      <c r="E427" t="s">
        <v>2742</v>
      </c>
      <c r="F427">
        <v>0</v>
      </c>
      <c r="G427" t="s">
        <v>2743</v>
      </c>
      <c r="H427" t="s">
        <v>2744</v>
      </c>
      <c r="I427" t="s">
        <v>2745</v>
      </c>
    </row>
    <row r="428" spans="1:9" x14ac:dyDescent="0.55000000000000004">
      <c r="A428" t="s">
        <v>6989</v>
      </c>
      <c r="B428" t="s">
        <v>6766</v>
      </c>
      <c r="C428" s="7" t="str">
        <f>HYPERLINK("[#]Feature_Schema_1!A29562:F29562","FORD_C")</f>
        <v>FORD_C</v>
      </c>
      <c r="D428" t="s">
        <v>6477</v>
      </c>
      <c r="E428" t="s">
        <v>2540</v>
      </c>
      <c r="F428">
        <v>0</v>
      </c>
      <c r="G428" t="s">
        <v>2541</v>
      </c>
      <c r="H428" t="s">
        <v>2542</v>
      </c>
      <c r="I428" t="s">
        <v>2543</v>
      </c>
    </row>
    <row r="429" spans="1:9" x14ac:dyDescent="0.55000000000000004">
      <c r="A429" t="s">
        <v>6989</v>
      </c>
      <c r="B429" t="s">
        <v>6793</v>
      </c>
      <c r="C429" s="7" t="str">
        <f>HYPERLINK("[#]Feature_Schema_1!A30308:F30308","FOREST_C")</f>
        <v>FOREST_C</v>
      </c>
      <c r="D429" t="s">
        <v>6479</v>
      </c>
      <c r="E429" t="s">
        <v>3227</v>
      </c>
      <c r="F429">
        <v>0</v>
      </c>
      <c r="G429" t="s">
        <v>3228</v>
      </c>
      <c r="H429" t="s">
        <v>3229</v>
      </c>
      <c r="I429" t="s">
        <v>3230</v>
      </c>
    </row>
    <row r="430" spans="1:9" x14ac:dyDescent="0.55000000000000004">
      <c r="A430" t="s">
        <v>6989</v>
      </c>
      <c r="B430" t="s">
        <v>6760</v>
      </c>
      <c r="C430" s="7" t="str">
        <f>HYPERLINK("[#]Feature_Schema_1!A33793:F33793","FOUL_GROUND_P")</f>
        <v>FOUL_GROUND_P</v>
      </c>
      <c r="D430" t="s">
        <v>6482</v>
      </c>
      <c r="E430" t="s">
        <v>2267</v>
      </c>
      <c r="F430">
        <v>0</v>
      </c>
      <c r="G430" t="s">
        <v>2268</v>
      </c>
      <c r="H430" t="s">
        <v>2269</v>
      </c>
      <c r="I430" t="s">
        <v>2270</v>
      </c>
    </row>
    <row r="431" spans="1:9" x14ac:dyDescent="0.55000000000000004">
      <c r="A431" t="s">
        <v>6989</v>
      </c>
      <c r="B431" t="s">
        <v>6768</v>
      </c>
      <c r="C431" s="7" t="str">
        <f>HYPERLINK("[#]Feature_Schema_1!A33871:F33871","FOUNTAIN_P")</f>
        <v>FOUNTAIN_P</v>
      </c>
      <c r="D431" t="s">
        <v>6483</v>
      </c>
      <c r="E431" t="s">
        <v>2544</v>
      </c>
      <c r="F431">
        <v>0</v>
      </c>
      <c r="G431" t="s">
        <v>2545</v>
      </c>
      <c r="H431" t="s">
        <v>2546</v>
      </c>
      <c r="I431" t="s">
        <v>2547</v>
      </c>
    </row>
    <row r="432" spans="1:9" x14ac:dyDescent="0.55000000000000004">
      <c r="A432" t="s">
        <v>6989</v>
      </c>
      <c r="B432" t="s">
        <v>6810</v>
      </c>
      <c r="C432" s="7" t="str">
        <f>HYPERLINK("[#]Feature_Schema_1!A34181:F34181","FUEL_STORAGE_FACILITY_P")</f>
        <v>FUEL_STORAGE_FACILITY_P</v>
      </c>
      <c r="D432" t="s">
        <v>6484</v>
      </c>
      <c r="E432" t="s">
        <v>1290</v>
      </c>
      <c r="F432">
        <v>0</v>
      </c>
      <c r="G432" t="s">
        <v>1291</v>
      </c>
      <c r="H432" t="s">
        <v>1292</v>
      </c>
      <c r="I432" t="s">
        <v>1293</v>
      </c>
    </row>
    <row r="433" spans="1:9" x14ac:dyDescent="0.55000000000000004">
      <c r="A433" t="s">
        <v>6989</v>
      </c>
      <c r="B433" t="s">
        <v>6766</v>
      </c>
      <c r="C433" s="7" t="str">
        <f>HYPERLINK("[#]Feature_Schema_1!A34659:F34659","GATE_C")</f>
        <v>GATE_C</v>
      </c>
      <c r="D433" t="s">
        <v>6486</v>
      </c>
      <c r="E433" t="s">
        <v>1490</v>
      </c>
      <c r="F433">
        <v>0</v>
      </c>
      <c r="G433" t="s">
        <v>1491</v>
      </c>
      <c r="H433" t="s">
        <v>1492</v>
      </c>
      <c r="I433" t="s">
        <v>1493</v>
      </c>
    </row>
    <row r="434" spans="1:9" x14ac:dyDescent="0.55000000000000004">
      <c r="A434" t="s">
        <v>6989</v>
      </c>
      <c r="B434" t="s">
        <v>6770</v>
      </c>
      <c r="C434" s="7" t="str">
        <f>HYPERLINK("[#]Feature_Schema_1!A35488:F35488","GLACIER_S")</f>
        <v>GLACIER_S</v>
      </c>
      <c r="D434" t="s">
        <v>6492</v>
      </c>
      <c r="E434" t="s">
        <v>2770</v>
      </c>
      <c r="F434">
        <v>0</v>
      </c>
      <c r="G434" t="s">
        <v>2771</v>
      </c>
      <c r="H434" t="s">
        <v>2772</v>
      </c>
      <c r="I434" t="s">
        <v>2773</v>
      </c>
    </row>
    <row r="435" spans="1:9" x14ac:dyDescent="0.55000000000000004">
      <c r="A435" t="s">
        <v>6989</v>
      </c>
      <c r="B435" t="s">
        <v>6811</v>
      </c>
      <c r="C435" s="7" t="str">
        <f>HYPERLINK("[#]Feature_Schema_1!A35780:F35780","GRAIN_ELEVATOR_S")</f>
        <v>GRAIN_ELEVATOR_S</v>
      </c>
      <c r="D435" t="s">
        <v>6495</v>
      </c>
      <c r="E435" t="s">
        <v>1198</v>
      </c>
      <c r="F435">
        <v>0</v>
      </c>
      <c r="G435" t="s">
        <v>1199</v>
      </c>
      <c r="H435" t="s">
        <v>1200</v>
      </c>
      <c r="I435" t="s">
        <v>1201</v>
      </c>
    </row>
    <row r="436" spans="1:9" x14ac:dyDescent="0.55000000000000004">
      <c r="A436" t="s">
        <v>6989</v>
      </c>
      <c r="B436" t="s">
        <v>6774</v>
      </c>
      <c r="C436" s="7" t="str">
        <f>HYPERLINK("[#]Feature_Schema_1!A36047:F36047","GRAIN_STORAGE_STRUCTURE_S")</f>
        <v>GRAIN_STORAGE_STRUCTURE_S</v>
      </c>
      <c r="D436" t="s">
        <v>6496</v>
      </c>
      <c r="E436" t="s">
        <v>1194</v>
      </c>
      <c r="F436">
        <v>0</v>
      </c>
      <c r="G436" t="s">
        <v>1195</v>
      </c>
      <c r="H436" t="s">
        <v>1196</v>
      </c>
      <c r="I436" t="s">
        <v>1197</v>
      </c>
    </row>
    <row r="437" spans="1:9" x14ac:dyDescent="0.55000000000000004">
      <c r="A437" t="s">
        <v>6989</v>
      </c>
      <c r="B437" t="s">
        <v>6751</v>
      </c>
      <c r="C437" s="7" t="str">
        <f>HYPERLINK("[#]Feature_Schema_1!A36250:F36250","GRANDSTAND_S")</f>
        <v>GRANDSTAND_S</v>
      </c>
      <c r="D437" t="s">
        <v>6497</v>
      </c>
      <c r="E437" t="s">
        <v>375</v>
      </c>
      <c r="F437">
        <v>0</v>
      </c>
      <c r="G437" t="s">
        <v>376</v>
      </c>
      <c r="H437" t="s">
        <v>377</v>
      </c>
      <c r="I437" t="s">
        <v>378</v>
      </c>
    </row>
    <row r="438" spans="1:9" x14ac:dyDescent="0.55000000000000004">
      <c r="A438" t="s">
        <v>6989</v>
      </c>
      <c r="B438" t="s">
        <v>6774</v>
      </c>
      <c r="C438" s="7" t="str">
        <f>HYPERLINK("[#]Feature_Schema_1!A36514:F36514","GREENHOUSE_S")</f>
        <v>GREENHOUSE_S</v>
      </c>
      <c r="D438" t="s">
        <v>6499</v>
      </c>
      <c r="E438" t="s">
        <v>305</v>
      </c>
      <c r="F438">
        <v>0</v>
      </c>
      <c r="G438" t="s">
        <v>306</v>
      </c>
      <c r="H438" t="s">
        <v>307</v>
      </c>
      <c r="I438" t="s">
        <v>308</v>
      </c>
    </row>
    <row r="439" spans="1:9" x14ac:dyDescent="0.55000000000000004">
      <c r="A439" t="s">
        <v>6989</v>
      </c>
      <c r="B439" t="s">
        <v>6749</v>
      </c>
      <c r="C439" s="7" t="str">
        <f>HYPERLINK("[#]Feature_Schema_1!A37201:F37201","HARDENED_AIRCRAFT_SHELTER_S")</f>
        <v>HARDENED_AIRCRAFT_SHELTER_S</v>
      </c>
      <c r="D439" t="s">
        <v>6503</v>
      </c>
      <c r="E439" t="s">
        <v>3854</v>
      </c>
      <c r="F439">
        <v>0</v>
      </c>
      <c r="G439" t="s">
        <v>3855</v>
      </c>
      <c r="H439" t="s">
        <v>3856</v>
      </c>
      <c r="I439" t="s">
        <v>3857</v>
      </c>
    </row>
    <row r="440" spans="1:9" x14ac:dyDescent="0.55000000000000004">
      <c r="A440" t="s">
        <v>6989</v>
      </c>
      <c r="B440" t="s">
        <v>6745</v>
      </c>
      <c r="C440" s="7" t="str">
        <f>HYPERLINK("[#]Feature_Schema_1!A37492:F37492","HEATING_FACILITY_P")</f>
        <v>HEATING_FACILITY_P</v>
      </c>
      <c r="D440" t="s">
        <v>6505</v>
      </c>
      <c r="E440" t="s">
        <v>157</v>
      </c>
      <c r="F440">
        <v>0</v>
      </c>
      <c r="G440" t="s">
        <v>158</v>
      </c>
      <c r="H440" t="s">
        <v>159</v>
      </c>
      <c r="I440" t="s">
        <v>160</v>
      </c>
    </row>
    <row r="441" spans="1:9" x14ac:dyDescent="0.55000000000000004">
      <c r="A441" t="s">
        <v>6989</v>
      </c>
      <c r="B441" t="s">
        <v>6746</v>
      </c>
      <c r="C441" s="7" t="str">
        <f>HYPERLINK("[#]Feature_Schema_1!A37616:F37616","HEATING_FACILITY_S")</f>
        <v>HEATING_FACILITY_S</v>
      </c>
      <c r="D441" t="s">
        <v>6505</v>
      </c>
      <c r="E441" t="s">
        <v>157</v>
      </c>
      <c r="F441">
        <v>0</v>
      </c>
      <c r="G441" t="s">
        <v>158</v>
      </c>
      <c r="H441" t="s">
        <v>159</v>
      </c>
      <c r="I441" t="s">
        <v>160</v>
      </c>
    </row>
    <row r="442" spans="1:9" x14ac:dyDescent="0.55000000000000004">
      <c r="A442" t="s">
        <v>6989</v>
      </c>
      <c r="B442" t="s">
        <v>6748</v>
      </c>
      <c r="C442" s="7" t="str">
        <f>HYPERLINK("[#]Feature_Schema_1!A37778:F37778","HELIPAD_P")</f>
        <v>HELIPAD_P</v>
      </c>
      <c r="D442" t="s">
        <v>6507</v>
      </c>
      <c r="E442" t="s">
        <v>3762</v>
      </c>
      <c r="F442">
        <v>0</v>
      </c>
      <c r="G442" t="s">
        <v>3763</v>
      </c>
      <c r="H442" t="s">
        <v>3764</v>
      </c>
      <c r="I442" t="s">
        <v>3765</v>
      </c>
    </row>
    <row r="443" spans="1:9" x14ac:dyDescent="0.55000000000000004">
      <c r="A443" t="s">
        <v>6989</v>
      </c>
      <c r="B443" t="s">
        <v>6748</v>
      </c>
      <c r="C443" s="7" t="str">
        <f>HYPERLINK("[#]Feature_Schema_1!A38180:F38180","HELIPORT_P")</f>
        <v>HELIPORT_P</v>
      </c>
      <c r="D443" t="s">
        <v>6508</v>
      </c>
      <c r="E443" t="s">
        <v>3766</v>
      </c>
      <c r="F443">
        <v>0</v>
      </c>
      <c r="G443" t="s">
        <v>3767</v>
      </c>
      <c r="H443" t="s">
        <v>3768</v>
      </c>
      <c r="I443" t="s">
        <v>3769</v>
      </c>
    </row>
    <row r="444" spans="1:9" x14ac:dyDescent="0.55000000000000004">
      <c r="A444" t="s">
        <v>6989</v>
      </c>
      <c r="B444" t="s">
        <v>6773</v>
      </c>
      <c r="C444" s="7" t="str">
        <f>HYPERLINK("[#]Feature_Schema_1!A38348:F38348","HOLDING_PEN_P")</f>
        <v>HOLDING_PEN_P</v>
      </c>
      <c r="D444" t="s">
        <v>6509</v>
      </c>
      <c r="E444" t="s">
        <v>265</v>
      </c>
      <c r="F444">
        <v>0</v>
      </c>
      <c r="G444" t="s">
        <v>266</v>
      </c>
      <c r="H444" t="s">
        <v>267</v>
      </c>
      <c r="I444" t="s">
        <v>268</v>
      </c>
    </row>
    <row r="445" spans="1:9" x14ac:dyDescent="0.55000000000000004">
      <c r="A445" t="s">
        <v>6989</v>
      </c>
      <c r="B445" t="s">
        <v>6780</v>
      </c>
      <c r="C445" s="7" t="str">
        <f>HYPERLINK("[#]Feature_Schema_1!A38948:F38948","HYDROCARBON_PROD_FACILITY_P")</f>
        <v>HYDROCARBON_PROD_FACILITY_P</v>
      </c>
      <c r="D445" t="s">
        <v>6515</v>
      </c>
      <c r="E445" t="s">
        <v>88</v>
      </c>
      <c r="F445">
        <v>0</v>
      </c>
      <c r="G445" t="s">
        <v>89</v>
      </c>
      <c r="H445" t="s">
        <v>90</v>
      </c>
      <c r="I445" t="s">
        <v>91</v>
      </c>
    </row>
    <row r="446" spans="1:9" x14ac:dyDescent="0.55000000000000004">
      <c r="A446" t="s">
        <v>6989</v>
      </c>
      <c r="B446" t="s">
        <v>6814</v>
      </c>
      <c r="C446" s="7" t="str">
        <f>HYPERLINK("[#]Feature_Schema_1!A39226:F39226","HYDROCARBONS_FIELD_P")</f>
        <v>HYDROCARBONS_FIELD_P</v>
      </c>
      <c r="D446" t="s">
        <v>6516</v>
      </c>
      <c r="E446" t="s">
        <v>33</v>
      </c>
      <c r="F446">
        <v>0</v>
      </c>
      <c r="G446" t="s">
        <v>34</v>
      </c>
      <c r="H446" t="s">
        <v>35</v>
      </c>
      <c r="I446" t="s">
        <v>36</v>
      </c>
    </row>
    <row r="447" spans="1:9" x14ac:dyDescent="0.55000000000000004">
      <c r="A447" t="s">
        <v>6989</v>
      </c>
      <c r="B447" t="s">
        <v>6796</v>
      </c>
      <c r="C447" s="7" t="str">
        <f>HYPERLINK("[#]Feature_Schema_1!A39384:F39384","ICE_CLIFF_C")</f>
        <v>ICE_CLIFF_C</v>
      </c>
      <c r="D447" t="s">
        <v>6518</v>
      </c>
      <c r="E447" t="s">
        <v>2778</v>
      </c>
      <c r="F447">
        <v>0</v>
      </c>
      <c r="G447" t="s">
        <v>2779</v>
      </c>
      <c r="H447" t="s">
        <v>2780</v>
      </c>
      <c r="I447" t="s">
        <v>2781</v>
      </c>
    </row>
    <row r="448" spans="1:9" x14ac:dyDescent="0.55000000000000004">
      <c r="A448" t="s">
        <v>6989</v>
      </c>
      <c r="B448" t="s">
        <v>6773</v>
      </c>
      <c r="C448" s="7" t="str">
        <f>HYPERLINK("[#]Feature_Schema_1!A39607:F39607","INDUSTRIAL_FARM_P")</f>
        <v>INDUSTRIAL_FARM_P</v>
      </c>
      <c r="D448" t="s">
        <v>6522</v>
      </c>
      <c r="E448" t="s">
        <v>1163</v>
      </c>
      <c r="F448">
        <v>0</v>
      </c>
      <c r="G448" t="s">
        <v>1164</v>
      </c>
      <c r="H448" t="s">
        <v>1165</v>
      </c>
      <c r="I448" t="s">
        <v>1166</v>
      </c>
    </row>
    <row r="449" spans="1:9" x14ac:dyDescent="0.55000000000000004">
      <c r="A449" t="s">
        <v>6989</v>
      </c>
      <c r="B449" t="s">
        <v>6744</v>
      </c>
      <c r="C449" s="7" t="str">
        <f>HYPERLINK("[#]Feature_Schema_1!A40318:F40318","INDUSTRIAL_FURNACE_S")</f>
        <v>INDUSTRIAL_FURNACE_S</v>
      </c>
      <c r="D449" t="s">
        <v>6523</v>
      </c>
      <c r="E449" t="s">
        <v>96</v>
      </c>
      <c r="F449">
        <v>0</v>
      </c>
      <c r="G449" t="s">
        <v>97</v>
      </c>
      <c r="H449" t="s">
        <v>98</v>
      </c>
      <c r="I449" t="s">
        <v>99</v>
      </c>
    </row>
    <row r="450" spans="1:9" x14ac:dyDescent="0.55000000000000004">
      <c r="A450" t="s">
        <v>6989</v>
      </c>
      <c r="B450" t="s">
        <v>6792</v>
      </c>
      <c r="C450" s="7" t="str">
        <f>HYPERLINK("[#]Feature_Schema_1!A40686:F40686","INLAND_WATERBODY_P")</f>
        <v>INLAND_WATERBODY_P</v>
      </c>
      <c r="D450" t="s">
        <v>6525</v>
      </c>
      <c r="E450" t="s">
        <v>2560</v>
      </c>
      <c r="F450">
        <v>0</v>
      </c>
      <c r="G450" t="s">
        <v>2561</v>
      </c>
      <c r="H450" t="s">
        <v>2562</v>
      </c>
      <c r="I450" t="s">
        <v>2563</v>
      </c>
    </row>
    <row r="451" spans="1:9" x14ac:dyDescent="0.55000000000000004">
      <c r="A451" t="s">
        <v>6989</v>
      </c>
      <c r="B451" t="s">
        <v>6806</v>
      </c>
      <c r="C451" s="7" t="str">
        <f>HYPERLINK("[#]Feature_Schema_1!A41342:F41342","INSTALLATION_P")</f>
        <v>INSTALLATION_P</v>
      </c>
      <c r="D451" t="s">
        <v>6527</v>
      </c>
      <c r="E451" t="s">
        <v>467</v>
      </c>
      <c r="F451">
        <v>0</v>
      </c>
      <c r="G451" t="s">
        <v>468</v>
      </c>
      <c r="H451" t="s">
        <v>469</v>
      </c>
      <c r="I451" t="s">
        <v>470</v>
      </c>
    </row>
    <row r="452" spans="1:9" x14ac:dyDescent="0.55000000000000004">
      <c r="A452" t="s">
        <v>6989</v>
      </c>
      <c r="B452" t="s">
        <v>6768</v>
      </c>
      <c r="C452" s="7" t="str">
        <f>HYPERLINK("[#]Feature_Schema_1!A41790:F41790","INTEREST_SITE_P")</f>
        <v>INTEREST_SITE_P</v>
      </c>
      <c r="D452" t="s">
        <v>6529</v>
      </c>
      <c r="E452" t="s">
        <v>1074</v>
      </c>
      <c r="F452">
        <v>0</v>
      </c>
      <c r="G452" t="s">
        <v>1075</v>
      </c>
      <c r="H452" t="s">
        <v>1076</v>
      </c>
      <c r="I452" t="s">
        <v>1077</v>
      </c>
    </row>
    <row r="453" spans="1:9" x14ac:dyDescent="0.55000000000000004">
      <c r="A453" t="s">
        <v>6989</v>
      </c>
      <c r="B453" t="s">
        <v>6791</v>
      </c>
      <c r="C453" s="7" t="str">
        <f>HYPERLINK("[#]Feature_Schema_1!A42038:F42038","ISLAND_P")</f>
        <v>ISLAND_P</v>
      </c>
      <c r="D453" t="s">
        <v>6531</v>
      </c>
      <c r="E453" t="s">
        <v>1883</v>
      </c>
      <c r="F453">
        <v>0</v>
      </c>
      <c r="G453" t="s">
        <v>1884</v>
      </c>
      <c r="H453" t="s">
        <v>1885</v>
      </c>
      <c r="I453" t="s">
        <v>1886</v>
      </c>
    </row>
    <row r="454" spans="1:9" x14ac:dyDescent="0.55000000000000004">
      <c r="A454" t="s">
        <v>6989</v>
      </c>
      <c r="B454" t="s">
        <v>6748</v>
      </c>
      <c r="C454" s="7" t="str">
        <f>HYPERLINK("[#]Feature_Schema_1!A42323:F42323","LAND_AERODROME_P")</f>
        <v>LAND_AERODROME_P</v>
      </c>
      <c r="D454" t="s">
        <v>6533</v>
      </c>
      <c r="E454" t="s">
        <v>3735</v>
      </c>
      <c r="F454">
        <v>0</v>
      </c>
      <c r="G454" t="s">
        <v>1846</v>
      </c>
      <c r="H454" t="s">
        <v>3736</v>
      </c>
      <c r="I454" t="s">
        <v>3737</v>
      </c>
    </row>
    <row r="455" spans="1:9" x14ac:dyDescent="0.55000000000000004">
      <c r="A455" t="s">
        <v>6989</v>
      </c>
      <c r="B455" t="s">
        <v>6748</v>
      </c>
      <c r="C455" s="7" t="str">
        <f>HYPERLINK("[#]Feature_Schema_1!A42848:F42848","LAUNCH_PAD_P")</f>
        <v>LAUNCH_PAD_P</v>
      </c>
      <c r="D455" t="s">
        <v>6539</v>
      </c>
      <c r="E455" t="s">
        <v>3770</v>
      </c>
      <c r="F455">
        <v>0</v>
      </c>
      <c r="G455" t="s">
        <v>3771</v>
      </c>
      <c r="H455" t="s">
        <v>3772</v>
      </c>
      <c r="I455" t="s">
        <v>3773</v>
      </c>
    </row>
    <row r="456" spans="1:9" x14ac:dyDescent="0.55000000000000004">
      <c r="A456" t="s">
        <v>6989</v>
      </c>
      <c r="B456" t="s">
        <v>6787</v>
      </c>
      <c r="C456" s="7" t="str">
        <f>HYPERLINK("[#]Feature_Schema_1!A43016:F43016","LIGHT_SECTOR_P")</f>
        <v>LIGHT_SECTOR_P</v>
      </c>
      <c r="D456" t="s">
        <v>6540</v>
      </c>
      <c r="E456" t="s">
        <v>2190</v>
      </c>
      <c r="F456">
        <v>0</v>
      </c>
      <c r="G456" t="s">
        <v>2191</v>
      </c>
      <c r="H456" t="s">
        <v>2192</v>
      </c>
      <c r="I456" t="s">
        <v>2193</v>
      </c>
    </row>
    <row r="457" spans="1:9" x14ac:dyDescent="0.55000000000000004">
      <c r="A457" t="s">
        <v>6989</v>
      </c>
      <c r="B457" t="s">
        <v>6818</v>
      </c>
      <c r="C457" s="7" t="str">
        <f>HYPERLINK("[#]Feature_Schema_1!A43472:F43472","LIGHTHOUSE_S")</f>
        <v>LIGHTHOUSE_S</v>
      </c>
      <c r="D457" t="s">
        <v>6543</v>
      </c>
      <c r="E457" t="s">
        <v>2183</v>
      </c>
      <c r="F457">
        <v>0</v>
      </c>
      <c r="G457" t="s">
        <v>694</v>
      </c>
      <c r="H457" t="s">
        <v>2184</v>
      </c>
      <c r="I457" t="s">
        <v>2185</v>
      </c>
    </row>
    <row r="458" spans="1:9" x14ac:dyDescent="0.55000000000000004">
      <c r="A458" t="s">
        <v>6989</v>
      </c>
      <c r="B458" t="s">
        <v>6775</v>
      </c>
      <c r="C458" s="7" t="str">
        <f>HYPERLINK("[#]Feature_Schema_1!A43737:F43737","LOCK_C")</f>
        <v>LOCK_C</v>
      </c>
      <c r="D458" t="s">
        <v>6546</v>
      </c>
      <c r="E458" t="s">
        <v>2707</v>
      </c>
      <c r="F458">
        <v>0</v>
      </c>
      <c r="G458" t="s">
        <v>2708</v>
      </c>
      <c r="H458" t="s">
        <v>2709</v>
      </c>
      <c r="I458" t="s">
        <v>2710</v>
      </c>
    </row>
    <row r="459" spans="1:9" x14ac:dyDescent="0.55000000000000004">
      <c r="A459" t="s">
        <v>6989</v>
      </c>
      <c r="B459" t="s">
        <v>6809</v>
      </c>
      <c r="C459" s="7" t="str">
        <f>HYPERLINK("[#]Feature_Schema_1!A43957:F43957","LOCK_S")</f>
        <v>LOCK_S</v>
      </c>
      <c r="D459" t="s">
        <v>6546</v>
      </c>
      <c r="E459" t="s">
        <v>2707</v>
      </c>
      <c r="F459">
        <v>0</v>
      </c>
      <c r="G459" t="s">
        <v>2708</v>
      </c>
      <c r="H459" t="s">
        <v>2709</v>
      </c>
      <c r="I459" t="s">
        <v>2710</v>
      </c>
    </row>
    <row r="460" spans="1:9" x14ac:dyDescent="0.55000000000000004">
      <c r="A460" t="s">
        <v>6989</v>
      </c>
      <c r="B460" t="s">
        <v>6769</v>
      </c>
      <c r="C460" s="7" t="str">
        <f>HYPERLINK("[#]Feature_Schema_1!A44160:F44160","LOOKOUT_S")</f>
        <v>LOOKOUT_S</v>
      </c>
      <c r="D460" t="s">
        <v>6548</v>
      </c>
      <c r="E460" t="s">
        <v>383</v>
      </c>
      <c r="F460">
        <v>0</v>
      </c>
      <c r="G460" t="s">
        <v>384</v>
      </c>
      <c r="H460" t="s">
        <v>385</v>
      </c>
      <c r="I460" t="s">
        <v>386</v>
      </c>
    </row>
    <row r="461" spans="1:9" x14ac:dyDescent="0.55000000000000004">
      <c r="A461" t="s">
        <v>6989</v>
      </c>
      <c r="B461" t="s">
        <v>6761</v>
      </c>
      <c r="C461" s="7" t="str">
        <f>HYPERLINK("[#]Feature_Schema_1!A46376:F46376","MARITIME_ROUTE_S")</f>
        <v>MARITIME_ROUTE_S</v>
      </c>
      <c r="D461" t="s">
        <v>6560</v>
      </c>
      <c r="E461" t="s">
        <v>3615</v>
      </c>
      <c r="F461">
        <v>0</v>
      </c>
      <c r="G461" t="s">
        <v>3616</v>
      </c>
      <c r="H461" t="s">
        <v>3617</v>
      </c>
      <c r="I461" t="s">
        <v>3618</v>
      </c>
    </row>
    <row r="462" spans="1:9" x14ac:dyDescent="0.55000000000000004">
      <c r="A462" t="s">
        <v>6989</v>
      </c>
      <c r="B462" t="s">
        <v>6821</v>
      </c>
      <c r="C462" s="7" t="str">
        <f>HYPERLINK("[#]Feature_Schema_1!A46973:F46973","MEMORIAL_MONUMENT_C")</f>
        <v>MEMORIAL_MONUMENT_C</v>
      </c>
      <c r="D462" t="s">
        <v>6564</v>
      </c>
      <c r="E462" t="s">
        <v>1026</v>
      </c>
      <c r="F462">
        <v>0</v>
      </c>
      <c r="G462" t="s">
        <v>1027</v>
      </c>
      <c r="H462" t="s">
        <v>1028</v>
      </c>
      <c r="I462" t="s">
        <v>1029</v>
      </c>
    </row>
    <row r="463" spans="1:9" x14ac:dyDescent="0.55000000000000004">
      <c r="A463" t="s">
        <v>6989</v>
      </c>
      <c r="B463" t="s">
        <v>6769</v>
      </c>
      <c r="C463" s="7" t="str">
        <f>HYPERLINK("[#]Feature_Schema_1!A47209:F47209","MEMORIAL_MONUMENT_S")</f>
        <v>MEMORIAL_MONUMENT_S</v>
      </c>
      <c r="D463" t="s">
        <v>6564</v>
      </c>
      <c r="E463" t="s">
        <v>1026</v>
      </c>
      <c r="F463">
        <v>0</v>
      </c>
      <c r="G463" t="s">
        <v>1027</v>
      </c>
      <c r="H463" t="s">
        <v>1028</v>
      </c>
      <c r="I463" t="s">
        <v>1029</v>
      </c>
    </row>
    <row r="464" spans="1:9" x14ac:dyDescent="0.55000000000000004">
      <c r="A464" t="s">
        <v>6989</v>
      </c>
      <c r="B464" t="s">
        <v>6790</v>
      </c>
      <c r="C464" s="7" t="str">
        <f>HYPERLINK("[#]Feature_Schema_1!A47398:F47398","MILITARY_INSTALLATION_P")</f>
        <v>MILITARY_INSTALLATION_P</v>
      </c>
      <c r="D464" t="s">
        <v>6566</v>
      </c>
      <c r="E464" t="s">
        <v>4333</v>
      </c>
      <c r="F464">
        <v>0</v>
      </c>
      <c r="G464" t="s">
        <v>4334</v>
      </c>
      <c r="H464" t="s">
        <v>4335</v>
      </c>
      <c r="I464" t="s">
        <v>4336</v>
      </c>
    </row>
    <row r="465" spans="1:9" x14ac:dyDescent="0.55000000000000004">
      <c r="A465" t="s">
        <v>6989</v>
      </c>
      <c r="B465" t="s">
        <v>6789</v>
      </c>
      <c r="C465" s="7" t="str">
        <f>HYPERLINK("[#]Feature_Schema_1!A48274:F48274","MISSILE_SITE_S")</f>
        <v>MISSILE_SITE_S</v>
      </c>
      <c r="D465" t="s">
        <v>970</v>
      </c>
      <c r="E465" t="s">
        <v>972</v>
      </c>
      <c r="F465">
        <v>0</v>
      </c>
      <c r="G465" t="s">
        <v>973</v>
      </c>
      <c r="H465" t="s">
        <v>974</v>
      </c>
      <c r="I465" t="s">
        <v>971</v>
      </c>
    </row>
    <row r="466" spans="1:9" x14ac:dyDescent="0.55000000000000004">
      <c r="A466" t="s">
        <v>6989</v>
      </c>
      <c r="B466" t="s">
        <v>6764</v>
      </c>
      <c r="C466" s="7" t="str">
        <f>HYPERLINK("[#]Feature_Schema_1!A48569:F48569","MOAT_S")</f>
        <v>MOAT_S</v>
      </c>
      <c r="D466" t="s">
        <v>6570</v>
      </c>
      <c r="E466" t="s">
        <v>2576</v>
      </c>
      <c r="F466">
        <v>0</v>
      </c>
      <c r="G466" t="s">
        <v>2577</v>
      </c>
      <c r="H466" t="s">
        <v>2578</v>
      </c>
      <c r="I466" t="s">
        <v>2579</v>
      </c>
    </row>
    <row r="467" spans="1:9" x14ac:dyDescent="0.55000000000000004">
      <c r="A467" t="s">
        <v>6989</v>
      </c>
      <c r="B467" t="s">
        <v>6767</v>
      </c>
      <c r="C467" s="7" t="str">
        <f>HYPERLINK("[#]Feature_Schema_1!A48914:F48914","MOTOR_VEHICLE_STATION_S")</f>
        <v>MOTOR_VEHICLE_STATION_S</v>
      </c>
      <c r="D467" t="s">
        <v>6573</v>
      </c>
      <c r="E467" t="s">
        <v>1770</v>
      </c>
      <c r="F467">
        <v>0</v>
      </c>
      <c r="G467" t="s">
        <v>1771</v>
      </c>
      <c r="H467" t="s">
        <v>1772</v>
      </c>
      <c r="I467" t="s">
        <v>1773</v>
      </c>
    </row>
    <row r="468" spans="1:9" x14ac:dyDescent="0.55000000000000004">
      <c r="A468" t="s">
        <v>6989</v>
      </c>
      <c r="B468" t="s">
        <v>6791</v>
      </c>
      <c r="C468" s="7" t="str">
        <f>HYPERLINK("[#]Feature_Schema_1!A49044:F49044","MOUNTAIN_PASS_P")</f>
        <v>MOUNTAIN_PASS_P</v>
      </c>
      <c r="D468" t="s">
        <v>6574</v>
      </c>
      <c r="E468" t="s">
        <v>2954</v>
      </c>
      <c r="F468">
        <v>0</v>
      </c>
      <c r="G468" t="s">
        <v>2955</v>
      </c>
      <c r="H468" t="s">
        <v>2956</v>
      </c>
      <c r="I468" t="s">
        <v>2957</v>
      </c>
    </row>
    <row r="469" spans="1:9" x14ac:dyDescent="0.55000000000000004">
      <c r="A469" t="s">
        <v>6989</v>
      </c>
      <c r="B469" t="s">
        <v>6810</v>
      </c>
      <c r="C469" s="7" t="str">
        <f>HYPERLINK("[#]Feature_Schema_1!A49083:F49083","MUNITION_STORAGE_FACILITY_P")</f>
        <v>MUNITION_STORAGE_FACILITY_P</v>
      </c>
      <c r="D469" t="s">
        <v>6575</v>
      </c>
      <c r="E469" t="s">
        <v>1278</v>
      </c>
      <c r="F469">
        <v>0</v>
      </c>
      <c r="G469" t="s">
        <v>1279</v>
      </c>
      <c r="H469" t="s">
        <v>1280</v>
      </c>
      <c r="I469" t="s">
        <v>1281</v>
      </c>
    </row>
    <row r="470" spans="1:9" x14ac:dyDescent="0.55000000000000004">
      <c r="A470" t="s">
        <v>6989</v>
      </c>
      <c r="B470" t="s">
        <v>6823</v>
      </c>
      <c r="C470" s="7" t="str">
        <f>HYPERLINK("[#]Feature_Schema_1!A49221:F49221","NAMED_LOCATION_C")</f>
        <v>NAMED_LOCATION_C</v>
      </c>
      <c r="D470" t="s">
        <v>6076</v>
      </c>
      <c r="E470" t="s">
        <v>6078</v>
      </c>
      <c r="F470">
        <v>0</v>
      </c>
      <c r="G470" t="s">
        <v>6079</v>
      </c>
      <c r="H470" t="s">
        <v>6080</v>
      </c>
      <c r="I470" t="s">
        <v>6077</v>
      </c>
    </row>
    <row r="471" spans="1:9" x14ac:dyDescent="0.55000000000000004">
      <c r="A471" t="s">
        <v>6989</v>
      </c>
      <c r="B471" t="s">
        <v>6819</v>
      </c>
      <c r="C471" s="7" t="str">
        <f>HYPERLINK("[#]Feature_Schema_1!A49335:F49335","NAMED_LOCATION_S")</f>
        <v>NAMED_LOCATION_S</v>
      </c>
      <c r="D471" t="s">
        <v>6076</v>
      </c>
      <c r="E471" t="s">
        <v>6078</v>
      </c>
      <c r="F471">
        <v>0</v>
      </c>
      <c r="G471" t="s">
        <v>6079</v>
      </c>
      <c r="H471" t="s">
        <v>6080</v>
      </c>
      <c r="I471" t="s">
        <v>6077</v>
      </c>
    </row>
    <row r="472" spans="1:9" x14ac:dyDescent="0.55000000000000004">
      <c r="A472" t="s">
        <v>6989</v>
      </c>
      <c r="B472" t="s">
        <v>6764</v>
      </c>
      <c r="C472" s="7" t="str">
        <f>HYPERLINK("[#]Feature_Schema_1!A49811:F49811","NATURAL_POOL_S")</f>
        <v>NATURAL_POOL_S</v>
      </c>
      <c r="D472" t="s">
        <v>6577</v>
      </c>
      <c r="E472" t="s">
        <v>2628</v>
      </c>
      <c r="F472">
        <v>0</v>
      </c>
      <c r="G472" t="s">
        <v>2629</v>
      </c>
      <c r="H472" t="s">
        <v>2630</v>
      </c>
      <c r="I472" t="s">
        <v>2631</v>
      </c>
    </row>
    <row r="473" spans="1:9" x14ac:dyDescent="0.55000000000000004">
      <c r="A473" t="s">
        <v>6989</v>
      </c>
      <c r="B473" t="s">
        <v>6754</v>
      </c>
      <c r="C473" s="7" t="str">
        <f>HYPERLINK("[#]Feature_Schema_1!A50065:F50065","NAUTICAL_GRIDIRON_S")</f>
        <v>NAUTICAL_GRIDIRON_S</v>
      </c>
      <c r="D473" t="s">
        <v>6578</v>
      </c>
      <c r="E473" t="s">
        <v>2034</v>
      </c>
      <c r="F473">
        <v>0</v>
      </c>
      <c r="G473" t="s">
        <v>2035</v>
      </c>
      <c r="H473" t="s">
        <v>2036</v>
      </c>
      <c r="I473" t="s">
        <v>2037</v>
      </c>
    </row>
    <row r="474" spans="1:9" x14ac:dyDescent="0.55000000000000004">
      <c r="A474" t="s">
        <v>6989</v>
      </c>
      <c r="B474" t="s">
        <v>6809</v>
      </c>
      <c r="C474" s="7" t="str">
        <f>HYPERLINK("[#]Feature_Schema_1!A51090:F51090","NAVIGABLE_CANAL_S")</f>
        <v>NAVIGABLE_CANAL_S</v>
      </c>
      <c r="D474" t="s">
        <v>6580</v>
      </c>
      <c r="E474" t="s">
        <v>2508</v>
      </c>
      <c r="F474">
        <v>0</v>
      </c>
      <c r="G474" t="s">
        <v>2509</v>
      </c>
      <c r="H474" t="s">
        <v>2510</v>
      </c>
      <c r="I474" t="s">
        <v>2511</v>
      </c>
    </row>
    <row r="475" spans="1:9" x14ac:dyDescent="0.55000000000000004">
      <c r="A475" t="s">
        <v>6989</v>
      </c>
      <c r="B475" t="s">
        <v>6746</v>
      </c>
      <c r="C475" s="7" t="str">
        <f>HYPERLINK("[#]Feature_Schema_1!A52847:F52847","NUCLEAR_REACTOR_CONTAINMENT_S")</f>
        <v>NUCLEAR_REACTOR_CONTAINMENT_S</v>
      </c>
      <c r="D475" t="s">
        <v>6584</v>
      </c>
      <c r="E475" t="s">
        <v>153</v>
      </c>
      <c r="F475">
        <v>0</v>
      </c>
      <c r="G475" t="s">
        <v>154</v>
      </c>
      <c r="H475" t="s">
        <v>155</v>
      </c>
      <c r="I475" t="s">
        <v>156</v>
      </c>
    </row>
    <row r="476" spans="1:9" x14ac:dyDescent="0.55000000000000004">
      <c r="A476" t="s">
        <v>6989</v>
      </c>
      <c r="B476" t="s">
        <v>6791</v>
      </c>
      <c r="C476" s="7" t="str">
        <f>HYPERLINK("[#]Feature_Schema_1!A52966:F52966","OASIS_P")</f>
        <v>OASIS_P</v>
      </c>
      <c r="D476" t="s">
        <v>6585</v>
      </c>
      <c r="E476" t="s">
        <v>3231</v>
      </c>
      <c r="F476">
        <v>0</v>
      </c>
      <c r="G476" t="s">
        <v>3232</v>
      </c>
      <c r="H476" t="s">
        <v>3233</v>
      </c>
      <c r="I476" t="s">
        <v>3234</v>
      </c>
    </row>
    <row r="477" spans="1:9" x14ac:dyDescent="0.55000000000000004">
      <c r="A477" t="s">
        <v>6989</v>
      </c>
      <c r="B477" t="s">
        <v>6826</v>
      </c>
      <c r="C477" s="7" t="str">
        <f>HYPERLINK("[#]Feature_Schema_1!A54115:F54115","ORCHARD_P")</f>
        <v>ORCHARD_P</v>
      </c>
      <c r="D477" t="s">
        <v>6588</v>
      </c>
      <c r="E477" t="s">
        <v>3043</v>
      </c>
      <c r="F477">
        <v>0</v>
      </c>
      <c r="G477" t="s">
        <v>3044</v>
      </c>
      <c r="H477" t="s">
        <v>3045</v>
      </c>
      <c r="I477" t="s">
        <v>3046</v>
      </c>
    </row>
    <row r="478" spans="1:9" x14ac:dyDescent="0.55000000000000004">
      <c r="A478" t="s">
        <v>6989</v>
      </c>
      <c r="B478" t="s">
        <v>6752</v>
      </c>
      <c r="C478" s="7" t="str">
        <f>HYPERLINK("[#]Feature_Schema_1!A54441:F54441","OUTDOOR_THEATRE_SCREEN_C")</f>
        <v>OUTDOOR_THEATRE_SCREEN_C</v>
      </c>
      <c r="D478" t="s">
        <v>6589</v>
      </c>
      <c r="E478" t="s">
        <v>355</v>
      </c>
      <c r="F478">
        <v>0</v>
      </c>
      <c r="G478" t="s">
        <v>356</v>
      </c>
      <c r="H478" t="s">
        <v>357</v>
      </c>
      <c r="I478" t="s">
        <v>358</v>
      </c>
    </row>
    <row r="479" spans="1:9" x14ac:dyDescent="0.55000000000000004">
      <c r="A479" t="s">
        <v>6989</v>
      </c>
      <c r="B479" t="s">
        <v>6766</v>
      </c>
      <c r="C479" s="7" t="str">
        <f>HYPERLINK("[#]Feature_Schema_1!A54581:F54581","OVERHEAD_OBSTRUCTION_C")</f>
        <v>OVERHEAD_OBSTRUCTION_C</v>
      </c>
      <c r="D479" t="s">
        <v>6590</v>
      </c>
      <c r="E479" t="s">
        <v>1046</v>
      </c>
      <c r="F479">
        <v>0</v>
      </c>
      <c r="G479" t="s">
        <v>1047</v>
      </c>
      <c r="H479" t="s">
        <v>1048</v>
      </c>
      <c r="I479" t="s">
        <v>1049</v>
      </c>
    </row>
    <row r="480" spans="1:9" x14ac:dyDescent="0.55000000000000004">
      <c r="A480" t="s">
        <v>6989</v>
      </c>
      <c r="B480" t="s">
        <v>6777</v>
      </c>
      <c r="C480" s="7" t="str">
        <f>HYPERLINK("[#]Feature_Schema_1!A54783:F54783","PACK_ICE_C")</f>
        <v>PACK_ICE_C</v>
      </c>
      <c r="D480" t="s">
        <v>6591</v>
      </c>
      <c r="E480" t="s">
        <v>2790</v>
      </c>
      <c r="F480">
        <v>0</v>
      </c>
      <c r="G480" t="s">
        <v>2791</v>
      </c>
      <c r="H480" t="s">
        <v>2792</v>
      </c>
      <c r="I480" t="s">
        <v>2793</v>
      </c>
    </row>
    <row r="481" spans="1:9" x14ac:dyDescent="0.55000000000000004">
      <c r="A481" t="s">
        <v>6989</v>
      </c>
      <c r="B481" t="s">
        <v>6767</v>
      </c>
      <c r="C481" s="7" t="str">
        <f>HYPERLINK("[#]Feature_Schema_1!A55077:F55077","PARKING_GARAGE_S")</f>
        <v>PARKING_GARAGE_S</v>
      </c>
      <c r="D481" t="s">
        <v>6593</v>
      </c>
      <c r="E481" t="s">
        <v>1742</v>
      </c>
      <c r="F481">
        <v>0</v>
      </c>
      <c r="G481" t="s">
        <v>1743</v>
      </c>
      <c r="H481" t="s">
        <v>1744</v>
      </c>
      <c r="I481" t="s">
        <v>1745</v>
      </c>
    </row>
    <row r="482" spans="1:9" x14ac:dyDescent="0.55000000000000004">
      <c r="A482" t="s">
        <v>6989</v>
      </c>
      <c r="B482" t="s">
        <v>6784</v>
      </c>
      <c r="C482" s="7" t="str">
        <f>HYPERLINK("[#]Feature_Schema_1!A55225:F55225","PARTICLE_ACCELERATOR_C")</f>
        <v>PARTICLE_ACCELERATOR_C</v>
      </c>
      <c r="D482" t="s">
        <v>6594</v>
      </c>
      <c r="E482" t="s">
        <v>1034</v>
      </c>
      <c r="F482">
        <v>0</v>
      </c>
      <c r="G482" t="s">
        <v>1035</v>
      </c>
      <c r="H482" t="s">
        <v>1036</v>
      </c>
      <c r="I482" t="s">
        <v>1037</v>
      </c>
    </row>
    <row r="483" spans="1:9" x14ac:dyDescent="0.55000000000000004">
      <c r="A483" t="s">
        <v>6989</v>
      </c>
      <c r="B483" t="s">
        <v>6829</v>
      </c>
      <c r="C483" s="7" t="str">
        <f>HYPERLINK("[#]Feature_Schema_1!A56331:F56331","PORT_P")</f>
        <v>PORT_P</v>
      </c>
      <c r="D483" t="s">
        <v>6602</v>
      </c>
      <c r="E483" t="s">
        <v>1922</v>
      </c>
      <c r="F483">
        <v>0</v>
      </c>
      <c r="G483" t="s">
        <v>1923</v>
      </c>
      <c r="H483" t="s">
        <v>1924</v>
      </c>
      <c r="I483" t="s">
        <v>1925</v>
      </c>
    </row>
    <row r="484" spans="1:9" x14ac:dyDescent="0.55000000000000004">
      <c r="A484" t="s">
        <v>6989</v>
      </c>
      <c r="B484" t="s">
        <v>6745</v>
      </c>
      <c r="C484" s="7" t="str">
        <f>HYPERLINK("[#]Feature_Schema_2!A589:F589","POWER_SUBSTATION_P")</f>
        <v>POWER_SUBSTATION_P</v>
      </c>
      <c r="D484" t="s">
        <v>6603</v>
      </c>
      <c r="E484" t="s">
        <v>145</v>
      </c>
      <c r="F484">
        <v>0</v>
      </c>
      <c r="G484" t="s">
        <v>146</v>
      </c>
      <c r="H484" t="s">
        <v>147</v>
      </c>
      <c r="I484" t="s">
        <v>148</v>
      </c>
    </row>
    <row r="485" spans="1:9" x14ac:dyDescent="0.55000000000000004">
      <c r="A485" t="s">
        <v>6989</v>
      </c>
      <c r="B485" t="s">
        <v>6750</v>
      </c>
      <c r="C485" s="7" t="str">
        <f>HYPERLINK("[#]Feature_Schema_2!A899:F899","PUBLIC_SQUARE_P")</f>
        <v>PUBLIC_SQUARE_P</v>
      </c>
      <c r="D485" t="s">
        <v>6605</v>
      </c>
      <c r="E485" t="s">
        <v>1054</v>
      </c>
      <c r="F485">
        <v>0</v>
      </c>
      <c r="G485" t="s">
        <v>1055</v>
      </c>
      <c r="H485" t="s">
        <v>1056</v>
      </c>
      <c r="I485" t="s">
        <v>1057</v>
      </c>
    </row>
    <row r="486" spans="1:9" x14ac:dyDescent="0.55000000000000004">
      <c r="A486" t="s">
        <v>6989</v>
      </c>
      <c r="B486" t="s">
        <v>6746</v>
      </c>
      <c r="C486" s="7" t="str">
        <f>HYPERLINK("[#]Feature_Schema_2!A1721:F1721","PUMPING_STATION_S")</f>
        <v>PUMPING_STATION_S</v>
      </c>
      <c r="D486" t="s">
        <v>6608</v>
      </c>
      <c r="E486" t="s">
        <v>1710</v>
      </c>
      <c r="F486">
        <v>0</v>
      </c>
      <c r="G486" t="s">
        <v>1711</v>
      </c>
      <c r="H486" t="s">
        <v>1712</v>
      </c>
      <c r="I486" t="s">
        <v>1713</v>
      </c>
    </row>
    <row r="487" spans="1:9" x14ac:dyDescent="0.55000000000000004">
      <c r="A487" t="s">
        <v>6989</v>
      </c>
      <c r="B487" t="s">
        <v>6752</v>
      </c>
      <c r="C487" s="7" t="str">
        <f>HYPERLINK("[#]Feature_Schema_2!A2273:F2273","RACETRACK_C")</f>
        <v>RACETRACK_C</v>
      </c>
      <c r="D487" t="s">
        <v>6611</v>
      </c>
      <c r="E487" t="s">
        <v>399</v>
      </c>
      <c r="F487">
        <v>0</v>
      </c>
      <c r="G487" t="s">
        <v>400</v>
      </c>
      <c r="H487" t="s">
        <v>401</v>
      </c>
      <c r="I487" t="s">
        <v>402</v>
      </c>
    </row>
    <row r="488" spans="1:9" x14ac:dyDescent="0.55000000000000004">
      <c r="A488" t="s">
        <v>6989</v>
      </c>
      <c r="B488" t="s">
        <v>6807</v>
      </c>
      <c r="C488" s="7" t="str">
        <f>HYPERLINK("[#]Feature_Schema_2!A2526:F2526","RADAR_STATION_S")</f>
        <v>RADAR_STATION_S</v>
      </c>
      <c r="D488" t="s">
        <v>6612</v>
      </c>
    </row>
    <row r="489" spans="1:9" x14ac:dyDescent="0.55000000000000004">
      <c r="A489" t="s">
        <v>6989</v>
      </c>
      <c r="B489" t="s">
        <v>6767</v>
      </c>
      <c r="C489" s="7" t="str">
        <f>HYPERLINK("[#]Feature_Schema_2!A3088:F3088","RAILWAY_TURNTABLE_S")</f>
        <v>RAILWAY_TURNTABLE_S</v>
      </c>
      <c r="D489" t="s">
        <v>6615</v>
      </c>
      <c r="E489" t="s">
        <v>1364</v>
      </c>
      <c r="F489">
        <v>0</v>
      </c>
      <c r="G489" t="s">
        <v>1365</v>
      </c>
      <c r="H489" t="s">
        <v>1366</v>
      </c>
      <c r="I489" t="s">
        <v>1367</v>
      </c>
    </row>
    <row r="490" spans="1:9" x14ac:dyDescent="0.55000000000000004">
      <c r="A490" t="s">
        <v>6989</v>
      </c>
      <c r="B490" t="s">
        <v>6767</v>
      </c>
      <c r="C490" s="7" t="str">
        <f>HYPERLINK("[#]Feature_Schema_2!A3291:F3291","RAILWAY_YARD_S")</f>
        <v>RAILWAY_YARD_S</v>
      </c>
      <c r="D490" t="s">
        <v>6616</v>
      </c>
      <c r="E490" t="s">
        <v>1356</v>
      </c>
      <c r="F490">
        <v>0</v>
      </c>
      <c r="G490" t="s">
        <v>1357</v>
      </c>
      <c r="H490" t="s">
        <v>1358</v>
      </c>
      <c r="I490" t="s">
        <v>1359</v>
      </c>
    </row>
    <row r="491" spans="1:9" x14ac:dyDescent="0.55000000000000004">
      <c r="A491" t="s">
        <v>6989</v>
      </c>
      <c r="B491" t="s">
        <v>6766</v>
      </c>
      <c r="C491" s="7" t="str">
        <f>HYPERLINK("[#]Feature_Schema_2!A3413:F3413","RAMP_C")</f>
        <v>RAMP_C</v>
      </c>
      <c r="D491" t="s">
        <v>6617</v>
      </c>
      <c r="E491" t="s">
        <v>1066</v>
      </c>
      <c r="F491">
        <v>0</v>
      </c>
      <c r="G491" t="s">
        <v>1067</v>
      </c>
      <c r="H491" t="s">
        <v>1068</v>
      </c>
      <c r="I491" t="s">
        <v>1069</v>
      </c>
    </row>
    <row r="492" spans="1:9" x14ac:dyDescent="0.55000000000000004">
      <c r="A492" t="s">
        <v>6989</v>
      </c>
      <c r="B492" t="s">
        <v>6767</v>
      </c>
      <c r="C492" s="7" t="str">
        <f>HYPERLINK("[#]Feature_Schema_2!A3467:F3467","RAMP_S")</f>
        <v>RAMP_S</v>
      </c>
      <c r="D492" t="s">
        <v>6617</v>
      </c>
      <c r="E492" t="s">
        <v>1066</v>
      </c>
      <c r="F492">
        <v>0</v>
      </c>
      <c r="G492" t="s">
        <v>1067</v>
      </c>
      <c r="H492" t="s">
        <v>1068</v>
      </c>
      <c r="I492" t="s">
        <v>1069</v>
      </c>
    </row>
    <row r="493" spans="1:9" x14ac:dyDescent="0.55000000000000004">
      <c r="A493" t="s">
        <v>6989</v>
      </c>
      <c r="B493" t="s">
        <v>6763</v>
      </c>
      <c r="C493" s="7" t="str">
        <f>HYPERLINK("[#]Feature_Schema_2!A3521:F3521","RAPIDS_C")</f>
        <v>RAPIDS_C</v>
      </c>
      <c r="D493" t="s">
        <v>6618</v>
      </c>
      <c r="E493" t="s">
        <v>2588</v>
      </c>
      <c r="F493">
        <v>0</v>
      </c>
      <c r="G493" t="s">
        <v>2589</v>
      </c>
      <c r="H493" t="s">
        <v>2590</v>
      </c>
      <c r="I493" t="s">
        <v>2591</v>
      </c>
    </row>
    <row r="494" spans="1:9" x14ac:dyDescent="0.55000000000000004">
      <c r="A494" t="s">
        <v>6989</v>
      </c>
      <c r="B494" t="s">
        <v>6801</v>
      </c>
      <c r="C494" s="7" t="str">
        <f>HYPERLINK("[#]Feature_Schema_2!A3707:F3707","REEF_C")</f>
        <v>REEF_C</v>
      </c>
      <c r="D494" t="s">
        <v>6620</v>
      </c>
      <c r="E494" t="s">
        <v>2365</v>
      </c>
      <c r="F494">
        <v>0</v>
      </c>
      <c r="G494" t="s">
        <v>2366</v>
      </c>
      <c r="H494" t="s">
        <v>2367</v>
      </c>
      <c r="I494" t="s">
        <v>2368</v>
      </c>
    </row>
    <row r="495" spans="1:9" x14ac:dyDescent="0.55000000000000004">
      <c r="A495" t="s">
        <v>6989</v>
      </c>
      <c r="B495" t="s">
        <v>6769</v>
      </c>
      <c r="C495" s="7" t="str">
        <f>HYPERLINK("[#]Feature_Schema_2!A3853:F3853","RETAIL_STAND_S")</f>
        <v>RETAIL_STAND_S</v>
      </c>
      <c r="D495" t="s">
        <v>6622</v>
      </c>
      <c r="E495" t="s">
        <v>1062</v>
      </c>
      <c r="F495">
        <v>0</v>
      </c>
      <c r="G495" t="s">
        <v>1063</v>
      </c>
      <c r="H495" t="s">
        <v>1064</v>
      </c>
      <c r="I495" t="s">
        <v>1065</v>
      </c>
    </row>
    <row r="496" spans="1:9" x14ac:dyDescent="0.55000000000000004">
      <c r="A496" t="s">
        <v>6989</v>
      </c>
      <c r="B496" t="s">
        <v>6744</v>
      </c>
      <c r="C496" s="7" t="str">
        <f>HYPERLINK("[#]Feature_Schema_2!A4248:F4248","RIG_S")</f>
        <v>RIG_S</v>
      </c>
      <c r="D496" t="s">
        <v>6624</v>
      </c>
      <c r="E496" t="s">
        <v>21</v>
      </c>
      <c r="F496">
        <v>0</v>
      </c>
      <c r="G496" t="s">
        <v>22</v>
      </c>
      <c r="H496" t="s">
        <v>23</v>
      </c>
      <c r="I496" t="s">
        <v>24</v>
      </c>
    </row>
    <row r="497" spans="1:9" x14ac:dyDescent="0.55000000000000004">
      <c r="A497" t="s">
        <v>6989</v>
      </c>
      <c r="B497" t="s">
        <v>6767</v>
      </c>
      <c r="C497" s="7" t="str">
        <f>HYPERLINK("[#]Feature_Schema_2!A6003:F6003","ROAD_S")</f>
        <v>ROAD_S</v>
      </c>
      <c r="D497" t="s">
        <v>1420</v>
      </c>
      <c r="E497" t="s">
        <v>1422</v>
      </c>
      <c r="F497">
        <v>0</v>
      </c>
      <c r="G497" t="s">
        <v>1423</v>
      </c>
      <c r="H497" t="s">
        <v>1424</v>
      </c>
      <c r="I497" t="s">
        <v>1421</v>
      </c>
    </row>
    <row r="498" spans="1:9" x14ac:dyDescent="0.55000000000000004">
      <c r="A498" t="s">
        <v>6989</v>
      </c>
      <c r="B498" t="s">
        <v>6767</v>
      </c>
      <c r="C498" s="7" t="str">
        <f>HYPERLINK("[#]Feature_Schema_2!A6309:F6309","ROADSIDE_REST_AREA_S")</f>
        <v>ROADSIDE_REST_AREA_S</v>
      </c>
      <c r="D498" t="s">
        <v>6627</v>
      </c>
      <c r="E498" t="s">
        <v>1734</v>
      </c>
      <c r="F498">
        <v>0</v>
      </c>
      <c r="G498" t="s">
        <v>1735</v>
      </c>
      <c r="H498" t="s">
        <v>1736</v>
      </c>
      <c r="I498" t="s">
        <v>1737</v>
      </c>
    </row>
    <row r="499" spans="1:9" x14ac:dyDescent="0.55000000000000004">
      <c r="A499" t="s">
        <v>6989</v>
      </c>
      <c r="B499" t="s">
        <v>6770</v>
      </c>
      <c r="C499" s="7" t="str">
        <f>HYPERLINK("[#]Feature_Schema_2!A6482:F6482","ROCK_FORMATION_S")</f>
        <v>ROCK_FORMATION_S</v>
      </c>
      <c r="D499" t="s">
        <v>6628</v>
      </c>
      <c r="E499" t="s">
        <v>2958</v>
      </c>
      <c r="F499">
        <v>0</v>
      </c>
      <c r="G499" t="s">
        <v>2959</v>
      </c>
      <c r="H499" t="s">
        <v>2960</v>
      </c>
      <c r="I499" t="s">
        <v>2961</v>
      </c>
    </row>
    <row r="500" spans="1:9" x14ac:dyDescent="0.55000000000000004">
      <c r="A500" t="s">
        <v>6989</v>
      </c>
      <c r="B500" t="s">
        <v>6767</v>
      </c>
      <c r="C500" s="7" t="str">
        <f>HYPERLINK("[#]Feature_Schema_2!A6715:F6715","ROUNDHOUSE_S")</f>
        <v>ROUNDHOUSE_S</v>
      </c>
      <c r="D500" t="s">
        <v>6629</v>
      </c>
      <c r="E500" t="s">
        <v>1368</v>
      </c>
      <c r="F500">
        <v>0</v>
      </c>
      <c r="G500" t="s">
        <v>558</v>
      </c>
      <c r="H500" t="s">
        <v>1369</v>
      </c>
      <c r="I500" t="s">
        <v>1370</v>
      </c>
    </row>
    <row r="501" spans="1:9" x14ac:dyDescent="0.55000000000000004">
      <c r="A501" t="s">
        <v>6989</v>
      </c>
      <c r="B501" t="s">
        <v>6769</v>
      </c>
      <c r="C501" s="7" t="str">
        <f>HYPERLINK("[#]Feature_Schema_2!A6946:F6946","RUINS_S")</f>
        <v>RUINS_S</v>
      </c>
      <c r="D501" t="s">
        <v>6630</v>
      </c>
      <c r="E501" t="s">
        <v>1070</v>
      </c>
      <c r="F501">
        <v>0</v>
      </c>
      <c r="G501" t="s">
        <v>1071</v>
      </c>
      <c r="H501" t="s">
        <v>1072</v>
      </c>
      <c r="I501" t="s">
        <v>1073</v>
      </c>
    </row>
    <row r="502" spans="1:9" x14ac:dyDescent="0.55000000000000004">
      <c r="A502" t="s">
        <v>6989</v>
      </c>
      <c r="B502" t="s">
        <v>6780</v>
      </c>
      <c r="C502" s="7" t="str">
        <f>HYPERLINK("[#]Feature_Schema_2!A7282:F7282","SALT_EVAPORATOR_P")</f>
        <v>SALT_EVAPORATOR_P</v>
      </c>
      <c r="D502" t="s">
        <v>6634</v>
      </c>
      <c r="E502" t="s">
        <v>2616</v>
      </c>
      <c r="F502">
        <v>0</v>
      </c>
      <c r="G502" t="s">
        <v>2617</v>
      </c>
      <c r="H502" t="s">
        <v>2618</v>
      </c>
      <c r="I502" t="s">
        <v>2619</v>
      </c>
    </row>
    <row r="503" spans="1:9" x14ac:dyDescent="0.55000000000000004">
      <c r="A503" t="s">
        <v>6989</v>
      </c>
      <c r="B503" t="s">
        <v>6785</v>
      </c>
      <c r="C503" s="7" t="str">
        <f>HYPERLINK("[#]Feature_Schema_2!A7635:F7635","SETTLEMENT_P")</f>
        <v>SETTLEMENT_P</v>
      </c>
      <c r="D503" t="s">
        <v>6639</v>
      </c>
      <c r="E503" t="s">
        <v>958</v>
      </c>
      <c r="F503">
        <v>0</v>
      </c>
      <c r="G503" t="s">
        <v>959</v>
      </c>
      <c r="H503" t="s">
        <v>960</v>
      </c>
      <c r="I503" t="s">
        <v>961</v>
      </c>
    </row>
    <row r="504" spans="1:9" x14ac:dyDescent="0.55000000000000004">
      <c r="A504" t="s">
        <v>6989</v>
      </c>
      <c r="B504" t="s">
        <v>6746</v>
      </c>
      <c r="C504" s="7" t="str">
        <f>HYPERLINK("[#]Feature_Schema_2!A8266:F8266","SEWAGE_TREATMENT_PLANT_S")</f>
        <v>SEWAGE_TREATMENT_PLANT_S</v>
      </c>
      <c r="D504" t="s">
        <v>6641</v>
      </c>
      <c r="E504" t="s">
        <v>104</v>
      </c>
      <c r="F504">
        <v>0</v>
      </c>
      <c r="G504" t="s">
        <v>105</v>
      </c>
      <c r="H504" t="s">
        <v>106</v>
      </c>
      <c r="I504" t="s">
        <v>107</v>
      </c>
    </row>
    <row r="505" spans="1:9" x14ac:dyDescent="0.55000000000000004">
      <c r="A505" t="s">
        <v>6989</v>
      </c>
      <c r="B505" t="s">
        <v>6785</v>
      </c>
      <c r="C505" s="7" t="str">
        <f>HYPERLINK("[#]Feature_Schema_2!A8648:F8648","SHANTY_TOWN_P")</f>
        <v>SHANTY_TOWN_P</v>
      </c>
      <c r="D505" t="s">
        <v>6642</v>
      </c>
      <c r="E505" t="s">
        <v>1078</v>
      </c>
      <c r="F505">
        <v>0</v>
      </c>
      <c r="G505" t="s">
        <v>1079</v>
      </c>
      <c r="H505" t="s">
        <v>1080</v>
      </c>
      <c r="I505" t="s">
        <v>1081</v>
      </c>
    </row>
    <row r="506" spans="1:9" x14ac:dyDescent="0.55000000000000004">
      <c r="A506" t="s">
        <v>6989</v>
      </c>
      <c r="B506" t="s">
        <v>6775</v>
      </c>
      <c r="C506" s="7" t="str">
        <f>HYPERLINK("[#]Feature_Schema_2!A10075:F10075","SHIP_ELEVATOR_C")</f>
        <v>SHIP_ELEVATOR_C</v>
      </c>
      <c r="D506" t="s">
        <v>6646</v>
      </c>
      <c r="E506" t="s">
        <v>2695</v>
      </c>
      <c r="F506">
        <v>0</v>
      </c>
      <c r="G506" t="s">
        <v>2696</v>
      </c>
      <c r="H506" t="s">
        <v>2697</v>
      </c>
      <c r="I506" t="s">
        <v>2698</v>
      </c>
    </row>
    <row r="507" spans="1:9" x14ac:dyDescent="0.55000000000000004">
      <c r="A507" t="s">
        <v>6989</v>
      </c>
      <c r="B507" t="s">
        <v>6809</v>
      </c>
      <c r="C507" s="7" t="str">
        <f>HYPERLINK("[#]Feature_Schema_2!A10269:F10269","SHIP_ELEVATOR_S")</f>
        <v>SHIP_ELEVATOR_S</v>
      </c>
      <c r="D507" t="s">
        <v>6646</v>
      </c>
      <c r="E507" t="s">
        <v>2695</v>
      </c>
      <c r="F507">
        <v>0</v>
      </c>
      <c r="G507" t="s">
        <v>2696</v>
      </c>
      <c r="H507" t="s">
        <v>2697</v>
      </c>
      <c r="I507" t="s">
        <v>2698</v>
      </c>
    </row>
    <row r="508" spans="1:9" x14ac:dyDescent="0.55000000000000004">
      <c r="A508" t="s">
        <v>6989</v>
      </c>
      <c r="B508" t="s">
        <v>6811</v>
      </c>
      <c r="C508" s="7" t="str">
        <f>HYPERLINK("[#]Feature_Schema_2!A10541:F10541","SHIPPING_CONTAINER_S")</f>
        <v>SHIPPING_CONTAINER_S</v>
      </c>
      <c r="D508" t="s">
        <v>6647</v>
      </c>
      <c r="E508" t="s">
        <v>1190</v>
      </c>
      <c r="F508">
        <v>0</v>
      </c>
      <c r="G508" t="s">
        <v>1191</v>
      </c>
      <c r="H508" t="s">
        <v>1192</v>
      </c>
      <c r="I508" t="s">
        <v>1193</v>
      </c>
    </row>
    <row r="509" spans="1:9" x14ac:dyDescent="0.55000000000000004">
      <c r="A509" t="s">
        <v>6989</v>
      </c>
      <c r="B509" t="s">
        <v>6832</v>
      </c>
      <c r="C509" s="7" t="str">
        <f>HYPERLINK("[#]Feature_Schema_2!A11293:F11293","SHORELINE_CONSTRUCTION_C")</f>
        <v>SHORELINE_CONSTRUCTION_C</v>
      </c>
      <c r="D509" t="s">
        <v>6651</v>
      </c>
      <c r="E509" t="s">
        <v>1990</v>
      </c>
      <c r="F509">
        <v>0</v>
      </c>
      <c r="G509" t="s">
        <v>1991</v>
      </c>
      <c r="H509" t="s">
        <v>1992</v>
      </c>
      <c r="I509" t="s">
        <v>1993</v>
      </c>
    </row>
    <row r="510" spans="1:9" x14ac:dyDescent="0.55000000000000004">
      <c r="A510" t="s">
        <v>6989</v>
      </c>
      <c r="B510" t="s">
        <v>6803</v>
      </c>
      <c r="C510" s="7" t="str">
        <f>HYPERLINK("[#]Feature_Schema_2!A11469:F11469","SHORELINE_CONSTRUCTION_S")</f>
        <v>SHORELINE_CONSTRUCTION_S</v>
      </c>
      <c r="D510" t="s">
        <v>6651</v>
      </c>
      <c r="E510" t="s">
        <v>1990</v>
      </c>
      <c r="F510">
        <v>0</v>
      </c>
      <c r="G510" t="s">
        <v>1991</v>
      </c>
      <c r="H510" t="s">
        <v>1992</v>
      </c>
      <c r="I510" t="s">
        <v>1993</v>
      </c>
    </row>
    <row r="511" spans="1:9" x14ac:dyDescent="0.55000000000000004">
      <c r="A511" t="s">
        <v>6989</v>
      </c>
      <c r="B511" t="s">
        <v>6832</v>
      </c>
      <c r="C511" s="7" t="str">
        <f>HYPERLINK("[#]Feature_Schema_2!A11645:F11645","SHORELINE_RAMP_C")</f>
        <v>SHORELINE_RAMP_C</v>
      </c>
      <c r="D511" t="s">
        <v>6652</v>
      </c>
      <c r="E511" t="s">
        <v>1994</v>
      </c>
      <c r="F511">
        <v>0</v>
      </c>
      <c r="G511" t="s">
        <v>1995</v>
      </c>
      <c r="H511" t="s">
        <v>1996</v>
      </c>
      <c r="I511" t="s">
        <v>1997</v>
      </c>
    </row>
    <row r="512" spans="1:9" x14ac:dyDescent="0.55000000000000004">
      <c r="A512" t="s">
        <v>6989</v>
      </c>
      <c r="B512" t="s">
        <v>6803</v>
      </c>
      <c r="C512" s="7" t="str">
        <f>HYPERLINK("[#]Feature_Schema_2!A11749:F11749","SHORELINE_RAMP_S")</f>
        <v>SHORELINE_RAMP_S</v>
      </c>
      <c r="D512" t="s">
        <v>6652</v>
      </c>
      <c r="E512" t="s">
        <v>1994</v>
      </c>
      <c r="F512">
        <v>0</v>
      </c>
      <c r="G512" t="s">
        <v>1995</v>
      </c>
      <c r="H512" t="s">
        <v>1996</v>
      </c>
      <c r="I512" t="s">
        <v>1997</v>
      </c>
    </row>
    <row r="513" spans="1:9" x14ac:dyDescent="0.55000000000000004">
      <c r="A513" t="s">
        <v>6989</v>
      </c>
      <c r="B513" t="s">
        <v>6752</v>
      </c>
      <c r="C513" s="7" t="str">
        <f>HYPERLINK("[#]Feature_Schema_2!A11948:F11948","SKI_JUMP_C")</f>
        <v>SKI_JUMP_C</v>
      </c>
      <c r="D513" t="s">
        <v>6654</v>
      </c>
      <c r="E513" t="s">
        <v>411</v>
      </c>
      <c r="F513">
        <v>0</v>
      </c>
      <c r="G513" t="s">
        <v>412</v>
      </c>
      <c r="H513" t="s">
        <v>413</v>
      </c>
      <c r="I513" t="s">
        <v>414</v>
      </c>
    </row>
    <row r="514" spans="1:9" x14ac:dyDescent="0.55000000000000004">
      <c r="A514" t="s">
        <v>6989</v>
      </c>
      <c r="B514" t="s">
        <v>6752</v>
      </c>
      <c r="C514" s="7" t="str">
        <f>HYPERLINK("[#]Feature_Schema_2!A12086:F12086","SKI_RUN_C")</f>
        <v>SKI_RUN_C</v>
      </c>
      <c r="D514" t="s">
        <v>6655</v>
      </c>
      <c r="E514" t="s">
        <v>415</v>
      </c>
      <c r="F514">
        <v>0</v>
      </c>
      <c r="G514" t="s">
        <v>416</v>
      </c>
      <c r="H514" t="s">
        <v>417</v>
      </c>
      <c r="I514" t="s">
        <v>418</v>
      </c>
    </row>
    <row r="515" spans="1:9" x14ac:dyDescent="0.55000000000000004">
      <c r="A515" t="s">
        <v>6989</v>
      </c>
      <c r="B515" t="s">
        <v>6803</v>
      </c>
      <c r="C515" s="7" t="str">
        <f>HYPERLINK("[#]Feature_Schema_2!A12532:F12532","SMALL_CRAFT_FACILITY_S")</f>
        <v>SMALL_CRAFT_FACILITY_S</v>
      </c>
      <c r="D515" t="s">
        <v>6658</v>
      </c>
      <c r="E515" t="s">
        <v>2101</v>
      </c>
      <c r="F515">
        <v>0</v>
      </c>
      <c r="G515" t="s">
        <v>2102</v>
      </c>
      <c r="H515" t="s">
        <v>2103</v>
      </c>
      <c r="I515" t="s">
        <v>2104</v>
      </c>
    </row>
    <row r="516" spans="1:9" x14ac:dyDescent="0.55000000000000004">
      <c r="A516" t="s">
        <v>6989</v>
      </c>
      <c r="B516" t="s">
        <v>6764</v>
      </c>
      <c r="C516" s="7" t="str">
        <f>HYPERLINK("[#]Feature_Schema_2!A12807:F12807","SNAG_S")</f>
        <v>SNAG_S</v>
      </c>
      <c r="D516" t="s">
        <v>6660</v>
      </c>
      <c r="E516" t="s">
        <v>2389</v>
      </c>
      <c r="F516">
        <v>0</v>
      </c>
      <c r="G516" t="s">
        <v>2390</v>
      </c>
      <c r="H516" t="s">
        <v>2391</v>
      </c>
      <c r="I516" t="s">
        <v>2392</v>
      </c>
    </row>
    <row r="517" spans="1:9" x14ac:dyDescent="0.55000000000000004">
      <c r="A517" t="s">
        <v>6989</v>
      </c>
      <c r="B517" t="s">
        <v>6745</v>
      </c>
      <c r="C517" s="7" t="str">
        <f>HYPERLINK("[#]Feature_Schema_2!A13084:F13084","SOLAR_FARM_P")</f>
        <v>SOLAR_FARM_P</v>
      </c>
      <c r="D517" t="s">
        <v>6663</v>
      </c>
      <c r="E517" t="s">
        <v>141</v>
      </c>
      <c r="F517">
        <v>0</v>
      </c>
      <c r="G517" t="s">
        <v>142</v>
      </c>
      <c r="H517" t="s">
        <v>143</v>
      </c>
      <c r="I517" t="s">
        <v>144</v>
      </c>
    </row>
    <row r="518" spans="1:9" x14ac:dyDescent="0.55000000000000004">
      <c r="A518" t="s">
        <v>6989</v>
      </c>
      <c r="B518" t="s">
        <v>6746</v>
      </c>
      <c r="C518" s="7" t="str">
        <f>HYPERLINK("[#]Feature_Schema_2!A13381:F13381","SOLAR_PANEL_S")</f>
        <v>SOLAR_PANEL_S</v>
      </c>
      <c r="D518" t="s">
        <v>6664</v>
      </c>
      <c r="E518" t="s">
        <v>137</v>
      </c>
      <c r="F518">
        <v>0</v>
      </c>
      <c r="G518" t="s">
        <v>138</v>
      </c>
      <c r="H518" t="s">
        <v>139</v>
      </c>
      <c r="I518" t="s">
        <v>140</v>
      </c>
    </row>
    <row r="519" spans="1:9" x14ac:dyDescent="0.55000000000000004">
      <c r="A519" t="s">
        <v>6989</v>
      </c>
      <c r="B519" t="s">
        <v>6748</v>
      </c>
      <c r="C519" s="7" t="str">
        <f>HYPERLINK("[#]Feature_Schema_2!A13597:F13597","SPACE_FACILITY_P")</f>
        <v>SPACE_FACILITY_P</v>
      </c>
      <c r="D519" t="s">
        <v>6666</v>
      </c>
      <c r="E519" t="s">
        <v>1171</v>
      </c>
      <c r="F519">
        <v>0</v>
      </c>
      <c r="G519" t="s">
        <v>1172</v>
      </c>
      <c r="H519" t="s">
        <v>1173</v>
      </c>
      <c r="I519" t="s">
        <v>1174</v>
      </c>
    </row>
    <row r="520" spans="1:9" x14ac:dyDescent="0.55000000000000004">
      <c r="A520" t="s">
        <v>6989</v>
      </c>
      <c r="B520" t="s">
        <v>6764</v>
      </c>
      <c r="C520" s="7" t="str">
        <f>HYPERLINK("[#]Feature_Schema_2!A13892:F13892","SPILLWAY_S")</f>
        <v>SPILLWAY_S</v>
      </c>
      <c r="D520" t="s">
        <v>6667</v>
      </c>
      <c r="E520" t="s">
        <v>2624</v>
      </c>
      <c r="F520">
        <v>0</v>
      </c>
      <c r="G520" t="s">
        <v>2625</v>
      </c>
      <c r="H520" t="s">
        <v>2626</v>
      </c>
      <c r="I520" t="s">
        <v>2627</v>
      </c>
    </row>
    <row r="521" spans="1:9" x14ac:dyDescent="0.55000000000000004">
      <c r="A521" t="s">
        <v>6989</v>
      </c>
      <c r="B521" t="s">
        <v>6750</v>
      </c>
      <c r="C521" s="7" t="str">
        <f>HYPERLINK("[#]Feature_Schema_2!A13981:F13981","SPORTS_GROUND_P")</f>
        <v>SPORTS_GROUND_P</v>
      </c>
      <c r="D521" t="s">
        <v>6668</v>
      </c>
      <c r="E521" t="s">
        <v>331</v>
      </c>
      <c r="F521">
        <v>0</v>
      </c>
      <c r="G521" t="s">
        <v>332</v>
      </c>
      <c r="H521" t="s">
        <v>333</v>
      </c>
      <c r="I521" t="s">
        <v>334</v>
      </c>
    </row>
    <row r="522" spans="1:9" x14ac:dyDescent="0.55000000000000004">
      <c r="A522" t="s">
        <v>6989</v>
      </c>
      <c r="B522" t="s">
        <v>6774</v>
      </c>
      <c r="C522" s="7" t="str">
        <f>HYPERLINK("[#]Feature_Schema_2!A14308:F14308","STABLE_S")</f>
        <v>STABLE_S</v>
      </c>
      <c r="D522" t="s">
        <v>6670</v>
      </c>
      <c r="E522" t="s">
        <v>289</v>
      </c>
      <c r="F522">
        <v>0</v>
      </c>
      <c r="G522" t="s">
        <v>290</v>
      </c>
      <c r="H522" t="s">
        <v>291</v>
      </c>
      <c r="I522" t="s">
        <v>292</v>
      </c>
    </row>
    <row r="523" spans="1:9" x14ac:dyDescent="0.55000000000000004">
      <c r="A523" t="s">
        <v>6989</v>
      </c>
      <c r="B523" t="s">
        <v>6751</v>
      </c>
      <c r="C523" s="7" t="str">
        <f>HYPERLINK("[#]Feature_Schema_2!A14625:F14625","STADIUM_S")</f>
        <v>STADIUM_S</v>
      </c>
      <c r="D523" t="s">
        <v>6671</v>
      </c>
      <c r="E523" t="s">
        <v>419</v>
      </c>
      <c r="F523">
        <v>0</v>
      </c>
      <c r="G523" t="s">
        <v>420</v>
      </c>
      <c r="H523" t="s">
        <v>421</v>
      </c>
      <c r="I523" t="s">
        <v>422</v>
      </c>
    </row>
    <row r="524" spans="1:9" x14ac:dyDescent="0.55000000000000004">
      <c r="A524" t="s">
        <v>6989</v>
      </c>
      <c r="B524" t="s">
        <v>6766</v>
      </c>
      <c r="C524" s="7" t="str">
        <f>HYPERLINK("[#]Feature_Schema_2!A14996:F14996","STEEP_GRADE_C")</f>
        <v>STEEP_GRADE_C</v>
      </c>
      <c r="D524" t="s">
        <v>6674</v>
      </c>
      <c r="E524" t="s">
        <v>1722</v>
      </c>
      <c r="F524">
        <v>0</v>
      </c>
      <c r="G524" t="s">
        <v>1723</v>
      </c>
      <c r="H524" t="s">
        <v>1724</v>
      </c>
      <c r="I524" t="s">
        <v>1725</v>
      </c>
    </row>
    <row r="525" spans="1:9" x14ac:dyDescent="0.55000000000000004">
      <c r="A525" t="s">
        <v>6989</v>
      </c>
      <c r="B525" t="s">
        <v>6796</v>
      </c>
      <c r="C525" s="7" t="str">
        <f>HYPERLINK("[#]Feature_Schema_2!A15052:F15052","STEEP_TERRAIN_FACE_C")</f>
        <v>STEEP_TERRAIN_FACE_C</v>
      </c>
      <c r="D525" t="s">
        <v>6675</v>
      </c>
      <c r="E525" t="s">
        <v>2899</v>
      </c>
      <c r="F525">
        <v>0</v>
      </c>
      <c r="G525" t="s">
        <v>2900</v>
      </c>
      <c r="H525" t="s">
        <v>2901</v>
      </c>
      <c r="I525" t="s">
        <v>2902</v>
      </c>
    </row>
    <row r="526" spans="1:9" x14ac:dyDescent="0.55000000000000004">
      <c r="A526" t="s">
        <v>6989</v>
      </c>
      <c r="B526" t="s">
        <v>6810</v>
      </c>
      <c r="C526" s="7" t="str">
        <f>HYPERLINK("[#]Feature_Schema_2!A15230:F15230","STORAGE_DEPOT_P")</f>
        <v>STORAGE_DEPOT_P</v>
      </c>
      <c r="D526" t="s">
        <v>6677</v>
      </c>
      <c r="E526" t="s">
        <v>1186</v>
      </c>
      <c r="F526">
        <v>0</v>
      </c>
      <c r="G526" t="s">
        <v>1187</v>
      </c>
      <c r="H526" t="s">
        <v>1188</v>
      </c>
      <c r="I526" t="s">
        <v>1189</v>
      </c>
    </row>
    <row r="527" spans="1:9" x14ac:dyDescent="0.55000000000000004">
      <c r="A527" t="s">
        <v>6989</v>
      </c>
      <c r="B527" t="s">
        <v>6811</v>
      </c>
      <c r="C527" s="7" t="str">
        <f>HYPERLINK("[#]Feature_Schema_2!A16172:F16172","STORAGE_TANK_S")</f>
        <v>STORAGE_TANK_S</v>
      </c>
      <c r="D527" t="s">
        <v>6679</v>
      </c>
      <c r="E527" t="s">
        <v>1282</v>
      </c>
      <c r="F527">
        <v>0</v>
      </c>
      <c r="G527" t="s">
        <v>1283</v>
      </c>
      <c r="H527" t="s">
        <v>1284</v>
      </c>
      <c r="I527" t="s">
        <v>1285</v>
      </c>
    </row>
    <row r="528" spans="1:9" x14ac:dyDescent="0.55000000000000004">
      <c r="A528" t="s">
        <v>6989</v>
      </c>
      <c r="B528" t="s">
        <v>6803</v>
      </c>
      <c r="C528" s="7" t="str">
        <f>HYPERLINK("[#]Feature_Schema_2!A16771:F16771","STRUCTURAL_PILE_S")</f>
        <v>STRUCTURAL_PILE_S</v>
      </c>
      <c r="D528" t="s">
        <v>6683</v>
      </c>
      <c r="E528" t="s">
        <v>2313</v>
      </c>
      <c r="F528">
        <v>0</v>
      </c>
      <c r="G528" t="s">
        <v>2314</v>
      </c>
      <c r="H528" t="s">
        <v>2315</v>
      </c>
      <c r="I528" t="s">
        <v>2316</v>
      </c>
    </row>
    <row r="529" spans="1:9" x14ac:dyDescent="0.55000000000000004">
      <c r="A529" t="s">
        <v>6989</v>
      </c>
      <c r="B529" t="s">
        <v>6790</v>
      </c>
      <c r="C529" s="7" t="str">
        <f>HYPERLINK("[#]Feature_Schema_2!A16864:F16864","SURFACE_BUNKER_P")</f>
        <v>SURFACE_BUNKER_P</v>
      </c>
      <c r="D529" t="s">
        <v>1214</v>
      </c>
      <c r="E529" t="s">
        <v>1216</v>
      </c>
      <c r="F529">
        <v>0</v>
      </c>
      <c r="G529" t="s">
        <v>1217</v>
      </c>
      <c r="H529" t="s">
        <v>1218</v>
      </c>
      <c r="I529" t="s">
        <v>1215</v>
      </c>
    </row>
    <row r="530" spans="1:9" x14ac:dyDescent="0.55000000000000004">
      <c r="A530" t="s">
        <v>6989</v>
      </c>
      <c r="B530" t="s">
        <v>6751</v>
      </c>
      <c r="C530" s="7" t="str">
        <f>HYPERLINK("[#]Feature_Schema_2!A17853:F17853","SWIMMING_POOL_S")</f>
        <v>SWIMMING_POOL_S</v>
      </c>
      <c r="D530" t="s">
        <v>6688</v>
      </c>
      <c r="E530" t="s">
        <v>439</v>
      </c>
      <c r="F530">
        <v>0</v>
      </c>
      <c r="G530" t="s">
        <v>440</v>
      </c>
      <c r="H530" t="s">
        <v>441</v>
      </c>
      <c r="I530" t="s">
        <v>442</v>
      </c>
    </row>
    <row r="531" spans="1:9" x14ac:dyDescent="0.55000000000000004">
      <c r="A531" t="s">
        <v>6989</v>
      </c>
      <c r="B531" t="s">
        <v>6810</v>
      </c>
      <c r="C531" s="7" t="str">
        <f>HYPERLINK("[#]Feature_Schema_2!A18192:F18192","TANK_FARM_P")</f>
        <v>TANK_FARM_P</v>
      </c>
      <c r="D531" t="s">
        <v>6690</v>
      </c>
      <c r="E531" t="s">
        <v>1286</v>
      </c>
      <c r="F531">
        <v>0</v>
      </c>
      <c r="G531" t="s">
        <v>1287</v>
      </c>
      <c r="H531" t="s">
        <v>1288</v>
      </c>
      <c r="I531" t="s">
        <v>1289</v>
      </c>
    </row>
    <row r="532" spans="1:9" x14ac:dyDescent="0.55000000000000004">
      <c r="A532" t="s">
        <v>6989</v>
      </c>
      <c r="B532" t="s">
        <v>6769</v>
      </c>
      <c r="C532" s="7" t="str">
        <f>HYPERLINK("[#]Feature_Schema_2!A19456:F19456","TOMB_S")</f>
        <v>TOMB_S</v>
      </c>
      <c r="D532" t="s">
        <v>6698</v>
      </c>
      <c r="E532" t="s">
        <v>899</v>
      </c>
      <c r="F532">
        <v>0</v>
      </c>
      <c r="G532" t="s">
        <v>900</v>
      </c>
      <c r="H532" t="s">
        <v>901</v>
      </c>
      <c r="I532" t="s">
        <v>902</v>
      </c>
    </row>
    <row r="533" spans="1:9" x14ac:dyDescent="0.55000000000000004">
      <c r="A533" t="s">
        <v>6989</v>
      </c>
      <c r="B533" t="s">
        <v>6760</v>
      </c>
      <c r="C533" s="7" t="str">
        <f>HYPERLINK("[#]Feature_Schema_2!A20012:F20012","TRAFFIC_SEPARATION_SCHEME_P")</f>
        <v>TRAFFIC_SEPARATION_SCHEME_P</v>
      </c>
      <c r="D533" t="s">
        <v>6700</v>
      </c>
      <c r="E533" t="s">
        <v>3571</v>
      </c>
      <c r="F533">
        <v>0</v>
      </c>
      <c r="G533" t="s">
        <v>3572</v>
      </c>
      <c r="H533" t="s">
        <v>3573</v>
      </c>
      <c r="I533" t="s">
        <v>3574</v>
      </c>
    </row>
    <row r="534" spans="1:9" x14ac:dyDescent="0.55000000000000004">
      <c r="A534" t="s">
        <v>6989</v>
      </c>
      <c r="B534" t="s">
        <v>6761</v>
      </c>
      <c r="C534" s="7" t="str">
        <f>HYPERLINK("[#]Feature_Schema_2!A20074:F20074","TRAFFIC_SEPARATION_SCHEME_S")</f>
        <v>TRAFFIC_SEPARATION_SCHEME_S</v>
      </c>
      <c r="D534" t="s">
        <v>6700</v>
      </c>
      <c r="E534" t="s">
        <v>3571</v>
      </c>
      <c r="F534">
        <v>0</v>
      </c>
      <c r="G534" t="s">
        <v>3572</v>
      </c>
      <c r="H534" t="s">
        <v>3573</v>
      </c>
      <c r="I534" t="s">
        <v>3574</v>
      </c>
    </row>
    <row r="535" spans="1:9" x14ac:dyDescent="0.55000000000000004">
      <c r="A535" t="s">
        <v>6989</v>
      </c>
      <c r="B535" t="s">
        <v>6790</v>
      </c>
      <c r="C535" s="7" t="str">
        <f>HYPERLINK("[#]Feature_Schema_2!A20233:F20233","TRAINING_SITE_P")</f>
        <v>TRAINING_SITE_P</v>
      </c>
      <c r="D535" t="s">
        <v>6702</v>
      </c>
      <c r="E535" t="s">
        <v>3516</v>
      </c>
      <c r="F535">
        <v>0</v>
      </c>
      <c r="G535" t="s">
        <v>3517</v>
      </c>
      <c r="H535" t="s">
        <v>3518</v>
      </c>
      <c r="I535" t="s">
        <v>3519</v>
      </c>
    </row>
    <row r="536" spans="1:9" x14ac:dyDescent="0.55000000000000004">
      <c r="A536" t="s">
        <v>6989</v>
      </c>
      <c r="B536" t="s">
        <v>6766</v>
      </c>
      <c r="C536" s="7" t="str">
        <f>HYPERLINK("[#]Feature_Schema_2!A20729:F20729","TRANS_ROUTE_PROTECT_STRUCT_C")</f>
        <v>TRANS_ROUTE_PROTECT_STRUCT_C</v>
      </c>
      <c r="D536" t="s">
        <v>6704</v>
      </c>
      <c r="E536" t="s">
        <v>1090</v>
      </c>
      <c r="F536">
        <v>0</v>
      </c>
      <c r="G536" t="s">
        <v>1091</v>
      </c>
      <c r="H536" t="s">
        <v>1092</v>
      </c>
      <c r="I536" t="s">
        <v>1093</v>
      </c>
    </row>
    <row r="537" spans="1:9" x14ac:dyDescent="0.55000000000000004">
      <c r="A537" t="s">
        <v>6989</v>
      </c>
      <c r="B537" t="s">
        <v>6767</v>
      </c>
      <c r="C537" s="7" t="str">
        <f>HYPERLINK("[#]Feature_Schema_2!A20901:F20901","TRANS_ROUTE_PROTECT_STRUCT_S")</f>
        <v>TRANS_ROUTE_PROTECT_STRUCT_S</v>
      </c>
      <c r="D537" t="s">
        <v>6704</v>
      </c>
      <c r="E537" t="s">
        <v>1090</v>
      </c>
      <c r="F537">
        <v>0</v>
      </c>
      <c r="G537" t="s">
        <v>1091</v>
      </c>
      <c r="H537" t="s">
        <v>1092</v>
      </c>
      <c r="I537" t="s">
        <v>1093</v>
      </c>
    </row>
    <row r="538" spans="1:9" x14ac:dyDescent="0.55000000000000004">
      <c r="A538" t="s">
        <v>6989</v>
      </c>
      <c r="B538" t="s">
        <v>6767</v>
      </c>
      <c r="C538" s="7" t="str">
        <f>HYPERLINK("[#]Feature_Schema_2!A21066:F21066","TRANSPORTATION_BLOCK_S")</f>
        <v>TRANSPORTATION_BLOCK_S</v>
      </c>
      <c r="D538" t="s">
        <v>6705</v>
      </c>
      <c r="E538" t="s">
        <v>1658</v>
      </c>
      <c r="F538">
        <v>0</v>
      </c>
      <c r="G538" t="s">
        <v>1659</v>
      </c>
      <c r="H538" t="s">
        <v>1660</v>
      </c>
      <c r="I538" t="s">
        <v>1661</v>
      </c>
    </row>
    <row r="539" spans="1:9" x14ac:dyDescent="0.55000000000000004">
      <c r="A539" t="s">
        <v>6989</v>
      </c>
      <c r="B539" t="s">
        <v>6767</v>
      </c>
      <c r="C539" s="7" t="str">
        <f>HYPERLINK("[#]Feature_Schema_2!A21418:F21418","TRANSPORTATION_STATION_S")</f>
        <v>TRANSPORTATION_STATION_S</v>
      </c>
      <c r="D539" t="s">
        <v>6706</v>
      </c>
      <c r="E539" t="s">
        <v>1726</v>
      </c>
      <c r="F539">
        <v>0</v>
      </c>
      <c r="G539" t="s">
        <v>1727</v>
      </c>
      <c r="H539" t="s">
        <v>1728</v>
      </c>
      <c r="I539" t="s">
        <v>1729</v>
      </c>
    </row>
    <row r="540" spans="1:9" x14ac:dyDescent="0.55000000000000004">
      <c r="A540" t="s">
        <v>6989</v>
      </c>
      <c r="B540" t="s">
        <v>6837</v>
      </c>
      <c r="C540" s="7" t="str">
        <f>HYPERLINK("[#]Feature_Schema_2!A21691:F21691","TREE_P")</f>
        <v>TREE_P</v>
      </c>
      <c r="D540" t="s">
        <v>3095</v>
      </c>
      <c r="E540" t="s">
        <v>3097</v>
      </c>
      <c r="F540">
        <v>0</v>
      </c>
      <c r="G540" t="s">
        <v>3098</v>
      </c>
      <c r="H540" t="s">
        <v>3099</v>
      </c>
      <c r="I540" t="s">
        <v>3096</v>
      </c>
    </row>
    <row r="541" spans="1:9" x14ac:dyDescent="0.55000000000000004">
      <c r="A541" t="s">
        <v>6989</v>
      </c>
      <c r="B541" t="s">
        <v>6767</v>
      </c>
      <c r="C541" s="7" t="str">
        <f>HYPERLINK("[#]Feature_Schema_2!A22019:F22019","TUNNEL_S")</f>
        <v>TUNNEL_S</v>
      </c>
      <c r="D541" t="s">
        <v>6708</v>
      </c>
      <c r="E541" t="s">
        <v>1730</v>
      </c>
      <c r="F541">
        <v>0</v>
      </c>
      <c r="G541" t="s">
        <v>1731</v>
      </c>
      <c r="H541" t="s">
        <v>1732</v>
      </c>
      <c r="I541" t="s">
        <v>1733</v>
      </c>
    </row>
    <row r="542" spans="1:9" x14ac:dyDescent="0.55000000000000004">
      <c r="A542" t="s">
        <v>6989</v>
      </c>
      <c r="B542" t="s">
        <v>6790</v>
      </c>
      <c r="C542" s="7" t="str">
        <f>HYPERLINK("[#]Feature_Schema_2!A22152:F22152","UNDERGROUND_BUNKER_P")</f>
        <v>UNDERGROUND_BUNKER_P</v>
      </c>
      <c r="D542" t="s">
        <v>6710</v>
      </c>
      <c r="E542" t="s">
        <v>241</v>
      </c>
      <c r="F542">
        <v>0</v>
      </c>
      <c r="G542" t="s">
        <v>242</v>
      </c>
      <c r="H542" t="s">
        <v>243</v>
      </c>
      <c r="I542" t="s">
        <v>244</v>
      </c>
    </row>
    <row r="543" spans="1:9" x14ac:dyDescent="0.55000000000000004">
      <c r="A543" t="s">
        <v>6989</v>
      </c>
      <c r="B543" t="s">
        <v>6803</v>
      </c>
      <c r="C543" s="7" t="str">
        <f>HYPERLINK("[#]Feature_Schema_2!A22987:F22987","VESSEL_LIFT_S")</f>
        <v>VESSEL_LIFT_S</v>
      </c>
      <c r="D543" t="s">
        <v>6716</v>
      </c>
      <c r="E543" t="s">
        <v>2691</v>
      </c>
      <c r="F543">
        <v>0</v>
      </c>
      <c r="G543" t="s">
        <v>2692</v>
      </c>
      <c r="H543" t="s">
        <v>2693</v>
      </c>
      <c r="I543" t="s">
        <v>2694</v>
      </c>
    </row>
    <row r="544" spans="1:9" x14ac:dyDescent="0.55000000000000004">
      <c r="A544" t="s">
        <v>6989</v>
      </c>
      <c r="B544" t="s">
        <v>6826</v>
      </c>
      <c r="C544" s="7" t="str">
        <f>HYPERLINK("[#]Feature_Schema_2!A23054:F23054","VINEYARD_P")</f>
        <v>VINEYARD_P</v>
      </c>
      <c r="D544" t="s">
        <v>6717</v>
      </c>
      <c r="E544" t="s">
        <v>3047</v>
      </c>
      <c r="F544">
        <v>0</v>
      </c>
      <c r="G544" t="s">
        <v>3048</v>
      </c>
      <c r="H544" t="s">
        <v>3049</v>
      </c>
      <c r="I544" t="s">
        <v>3050</v>
      </c>
    </row>
    <row r="545" spans="1:9" x14ac:dyDescent="0.55000000000000004">
      <c r="A545" t="s">
        <v>6989</v>
      </c>
      <c r="B545" t="s">
        <v>6770</v>
      </c>
      <c r="C545" s="7" t="str">
        <f>HYPERLINK("[#]Feature_Schema_2!A23422:F23422","VOLCANO_S")</f>
        <v>VOLCANO_S</v>
      </c>
      <c r="D545" t="s">
        <v>6720</v>
      </c>
      <c r="E545" t="s">
        <v>2974</v>
      </c>
      <c r="F545">
        <v>0</v>
      </c>
      <c r="G545" t="s">
        <v>2975</v>
      </c>
      <c r="H545" t="s">
        <v>2976</v>
      </c>
      <c r="I545" t="s">
        <v>2977</v>
      </c>
    </row>
    <row r="546" spans="1:9" x14ac:dyDescent="0.55000000000000004">
      <c r="A546" t="s">
        <v>6989</v>
      </c>
      <c r="B546" t="s">
        <v>6744</v>
      </c>
      <c r="C546" s="7" t="str">
        <f>HYPERLINK("[#]Feature_Schema_2!A23632:F23632","WASTE_HEAP_S")</f>
        <v>WASTE_HEAP_S</v>
      </c>
      <c r="D546" t="s">
        <v>6722</v>
      </c>
      <c r="E546" t="s">
        <v>68</v>
      </c>
      <c r="F546">
        <v>0</v>
      </c>
      <c r="G546" t="s">
        <v>69</v>
      </c>
      <c r="H546" t="s">
        <v>70</v>
      </c>
      <c r="I546" t="s">
        <v>71</v>
      </c>
    </row>
    <row r="547" spans="1:9" x14ac:dyDescent="0.55000000000000004">
      <c r="A547" t="s">
        <v>6989</v>
      </c>
      <c r="B547" t="s">
        <v>6749</v>
      </c>
      <c r="C547" s="7" t="str">
        <f>HYPERLINK("[#]Feature_Schema_2!A23754:F23754","WATER_AERODROME_S")</f>
        <v>WATER_AERODROME_S</v>
      </c>
      <c r="D547" t="s">
        <v>6723</v>
      </c>
      <c r="E547" t="s">
        <v>3810</v>
      </c>
      <c r="F547">
        <v>0</v>
      </c>
      <c r="G547" t="s">
        <v>3811</v>
      </c>
      <c r="H547" t="s">
        <v>3812</v>
      </c>
      <c r="I547" t="s">
        <v>3813</v>
      </c>
    </row>
    <row r="548" spans="1:9" x14ac:dyDescent="0.55000000000000004">
      <c r="A548" t="s">
        <v>6989</v>
      </c>
      <c r="B548" t="s">
        <v>6764</v>
      </c>
      <c r="C548" s="7" t="str">
        <f>HYPERLINK("[#]Feature_Schema_2!A23980:F23980","WATER_INTAKE_TOWER_S")</f>
        <v>WATER_INTAKE_TOWER_S</v>
      </c>
      <c r="D548" t="s">
        <v>6724</v>
      </c>
      <c r="E548" t="s">
        <v>2750</v>
      </c>
      <c r="F548">
        <v>0</v>
      </c>
      <c r="G548" t="s">
        <v>2751</v>
      </c>
      <c r="H548" t="s">
        <v>2752</v>
      </c>
      <c r="I548" t="s">
        <v>2753</v>
      </c>
    </row>
    <row r="549" spans="1:9" x14ac:dyDescent="0.55000000000000004">
      <c r="A549" t="s">
        <v>6989</v>
      </c>
      <c r="B549" t="s">
        <v>6744</v>
      </c>
      <c r="C549" s="7" t="str">
        <f>HYPERLINK("[#]Feature_Schema_2!A24529:F24529","WATER_MILL_S")</f>
        <v>WATER_MILL_S</v>
      </c>
      <c r="D549" t="s">
        <v>6726</v>
      </c>
      <c r="E549" t="s">
        <v>277</v>
      </c>
      <c r="F549">
        <v>0</v>
      </c>
      <c r="G549" t="s">
        <v>278</v>
      </c>
      <c r="H549" t="s">
        <v>279</v>
      </c>
      <c r="I549" t="s">
        <v>280</v>
      </c>
    </row>
    <row r="550" spans="1:9" x14ac:dyDescent="0.55000000000000004">
      <c r="A550" t="s">
        <v>6989</v>
      </c>
      <c r="B550" t="s">
        <v>6811</v>
      </c>
      <c r="C550" s="7" t="str">
        <f>HYPERLINK("[#]Feature_Schema_2!A25260:F25260","WATER_TOWER_S")</f>
        <v>WATER_TOWER_S</v>
      </c>
      <c r="D550" t="s">
        <v>6729</v>
      </c>
      <c r="E550" t="s">
        <v>1294</v>
      </c>
      <c r="F550">
        <v>0</v>
      </c>
      <c r="G550" t="s">
        <v>1119</v>
      </c>
      <c r="H550" t="s">
        <v>1295</v>
      </c>
      <c r="I550" t="s">
        <v>1296</v>
      </c>
    </row>
    <row r="551" spans="1:9" x14ac:dyDescent="0.55000000000000004">
      <c r="A551" t="s">
        <v>6989</v>
      </c>
      <c r="B551" t="s">
        <v>6801</v>
      </c>
      <c r="C551" s="7" t="str">
        <f>HYPERLINK("[#]Feature_Schema_2!A25539:F25539","WATER_TURBULENCE_C")</f>
        <v>WATER_TURBULENCE_C</v>
      </c>
      <c r="D551" t="s">
        <v>6731</v>
      </c>
      <c r="E551" t="s">
        <v>2469</v>
      </c>
      <c r="F551">
        <v>0</v>
      </c>
      <c r="G551" t="s">
        <v>2470</v>
      </c>
      <c r="H551" t="s">
        <v>2471</v>
      </c>
      <c r="I551" t="s">
        <v>2472</v>
      </c>
    </row>
    <row r="552" spans="1:9" x14ac:dyDescent="0.55000000000000004">
      <c r="A552" t="s">
        <v>6989</v>
      </c>
      <c r="B552" t="s">
        <v>6764</v>
      </c>
      <c r="C552" s="7" t="str">
        <f>HYPERLINK("[#]Feature_Schema_2!A26386:F26386","WATER_WELL_S")</f>
        <v>WATER_WELL_S</v>
      </c>
      <c r="D552" t="s">
        <v>6733</v>
      </c>
      <c r="E552" t="s">
        <v>2675</v>
      </c>
      <c r="F552">
        <v>0</v>
      </c>
      <c r="G552" t="s">
        <v>2676</v>
      </c>
      <c r="H552" t="s">
        <v>2677</v>
      </c>
      <c r="I552" t="s">
        <v>2678</v>
      </c>
    </row>
    <row r="553" spans="1:9" x14ac:dyDescent="0.55000000000000004">
      <c r="A553" t="s">
        <v>6989</v>
      </c>
      <c r="B553" t="s">
        <v>6761</v>
      </c>
      <c r="C553" s="7" t="str">
        <f>HYPERLINK("[#]Feature_Schema_2!A26755:F26755","WATERBODY_DIVIDER_S")</f>
        <v>WATERBODY_DIVIDER_S</v>
      </c>
      <c r="D553" s="11" t="s">
        <v>6734</v>
      </c>
      <c r="E553" t="s">
        <v>3552</v>
      </c>
      <c r="F553">
        <v>0</v>
      </c>
      <c r="G553" t="s">
        <v>2557</v>
      </c>
      <c r="H553" t="s">
        <v>3553</v>
      </c>
      <c r="I553" t="s">
        <v>3554</v>
      </c>
    </row>
    <row r="554" spans="1:9" x14ac:dyDescent="0.55000000000000004">
      <c r="A554" t="s">
        <v>6989</v>
      </c>
      <c r="B554" t="s">
        <v>6746</v>
      </c>
      <c r="C554" s="7" t="str">
        <f>HYPERLINK("[#]Feature_Schema_2!A27168:F27168","WATERWORK_S")</f>
        <v>WATERWORK_S</v>
      </c>
      <c r="D554" t="s">
        <v>6736</v>
      </c>
      <c r="E554" t="s">
        <v>2671</v>
      </c>
      <c r="F554">
        <v>0</v>
      </c>
      <c r="G554" t="s">
        <v>2672</v>
      </c>
      <c r="H554" t="s">
        <v>2673</v>
      </c>
      <c r="I554" t="s">
        <v>2674</v>
      </c>
    </row>
    <row r="555" spans="1:9" x14ac:dyDescent="0.55000000000000004">
      <c r="A555" t="s">
        <v>6989</v>
      </c>
      <c r="B555" t="s">
        <v>6745</v>
      </c>
      <c r="C555" s="7" t="str">
        <f>HYPERLINK("[#]Feature_Schema_2!A27460:F27460","WIND_FARM_P")</f>
        <v>WIND_FARM_P</v>
      </c>
      <c r="D555" t="s">
        <v>6737</v>
      </c>
      <c r="E555" t="s">
        <v>165</v>
      </c>
      <c r="F555">
        <v>0</v>
      </c>
      <c r="G555" t="s">
        <v>166</v>
      </c>
      <c r="H555" t="s">
        <v>167</v>
      </c>
      <c r="I555" t="s">
        <v>168</v>
      </c>
    </row>
    <row r="556" spans="1:9" x14ac:dyDescent="0.55000000000000004">
      <c r="A556" t="s">
        <v>6989</v>
      </c>
      <c r="B556" t="s">
        <v>6774</v>
      </c>
      <c r="C556" s="7" t="str">
        <f>HYPERLINK("[#]Feature_Schema_2!A27835:F27835","WINDMILL_S")</f>
        <v>WINDMILL_S</v>
      </c>
      <c r="D556" t="s">
        <v>6739</v>
      </c>
      <c r="E556" t="s">
        <v>269</v>
      </c>
      <c r="F556">
        <v>0</v>
      </c>
      <c r="G556" t="s">
        <v>270</v>
      </c>
      <c r="H556" t="s">
        <v>271</v>
      </c>
      <c r="I556" t="s">
        <v>272</v>
      </c>
    </row>
    <row r="557" spans="1:9" x14ac:dyDescent="0.55000000000000004">
      <c r="A557" t="s">
        <v>6989</v>
      </c>
      <c r="B557" t="s">
        <v>6761</v>
      </c>
      <c r="C557" s="7" t="str">
        <f>HYPERLINK("[#]Feature_Schema_2!A28110:F28110","WRECK_S")</f>
        <v>WRECK_S</v>
      </c>
      <c r="D557" t="s">
        <v>6740</v>
      </c>
      <c r="E557" t="s">
        <v>2393</v>
      </c>
      <c r="F557">
        <v>0</v>
      </c>
      <c r="G557" t="s">
        <v>2394</v>
      </c>
      <c r="H557" t="s">
        <v>2395</v>
      </c>
      <c r="I557" t="s">
        <v>2396</v>
      </c>
    </row>
    <row r="558" spans="1:9" x14ac:dyDescent="0.55000000000000004">
      <c r="A558" t="s">
        <v>6989</v>
      </c>
      <c r="B558" t="s">
        <v>6750</v>
      </c>
      <c r="C558" s="7" t="str">
        <f>HYPERLINK("[#]Feature_Schema_2!A28257:F28257","ZOO_P")</f>
        <v>ZOO_P</v>
      </c>
      <c r="D558" t="s">
        <v>6741</v>
      </c>
      <c r="E558" t="s">
        <v>443</v>
      </c>
      <c r="F558">
        <v>0</v>
      </c>
      <c r="G558" t="s">
        <v>444</v>
      </c>
      <c r="H558" t="s">
        <v>445</v>
      </c>
      <c r="I558" t="s">
        <v>446</v>
      </c>
    </row>
    <row r="559" spans="1:9" x14ac:dyDescent="0.55000000000000004">
      <c r="A559" t="s">
        <v>6989</v>
      </c>
      <c r="B559" t="s">
        <v>6770</v>
      </c>
      <c r="C559" s="7" t="str">
        <f>HYPERLINK("[#]Feature_Schema_1!A35325:F35325","GEOTHERMAL_OUTLET_S")</f>
        <v>GEOTHERMAL_OUTLET_S</v>
      </c>
      <c r="D559" t="s">
        <v>6491</v>
      </c>
      <c r="E559" t="s">
        <v>2946</v>
      </c>
      <c r="F559">
        <v>0</v>
      </c>
      <c r="G559" t="s">
        <v>2947</v>
      </c>
      <c r="H559" t="s">
        <v>2948</v>
      </c>
      <c r="I559" t="s">
        <v>2949</v>
      </c>
    </row>
    <row r="560" spans="1:9" x14ac:dyDescent="0.55000000000000004">
      <c r="A560" t="s">
        <v>6989</v>
      </c>
      <c r="B560" t="s">
        <v>6764</v>
      </c>
      <c r="C560" s="7" t="str">
        <f>HYPERLINK("[#]Feature_Schema_1!A53954:F53954","OFFSHORE_CONSTRUCTION_S")</f>
        <v>OFFSHORE_CONSTRUCTION_S</v>
      </c>
      <c r="D560" t="s">
        <v>6587</v>
      </c>
      <c r="E560" t="s">
        <v>2357</v>
      </c>
      <c r="F560">
        <v>0</v>
      </c>
      <c r="G560" t="s">
        <v>2358</v>
      </c>
      <c r="H560" t="s">
        <v>2359</v>
      </c>
      <c r="I560" t="s">
        <v>2360</v>
      </c>
    </row>
    <row r="561" spans="1:9" x14ac:dyDescent="0.55000000000000004">
      <c r="A561" t="s">
        <v>6991</v>
      </c>
      <c r="B561" t="s">
        <v>6772</v>
      </c>
      <c r="C561" s="7" t="str">
        <f>HYPERLINK("[#]Feature_Schema_1!A4380:F4380","ASTRONOMICAL_OBSERVATORY_S")</f>
        <v>ASTRONOMICAL_OBSERVATORY_S</v>
      </c>
      <c r="D561" t="s">
        <v>6369</v>
      </c>
      <c r="E561" t="s">
        <v>1042</v>
      </c>
      <c r="F561">
        <v>0</v>
      </c>
      <c r="G561" t="s">
        <v>1043</v>
      </c>
      <c r="H561" t="s">
        <v>1044</v>
      </c>
      <c r="I561" t="s">
        <v>1045</v>
      </c>
    </row>
    <row r="562" spans="1:9" x14ac:dyDescent="0.55000000000000004">
      <c r="A562" t="s">
        <v>6991</v>
      </c>
      <c r="B562" t="s">
        <v>6772</v>
      </c>
      <c r="C562" s="7" t="str">
        <f>HYPERLINK("[#]Feature_Schema_1!A10248:F10248","BUILDING_S")</f>
        <v>BUILDING_S</v>
      </c>
      <c r="D562" t="s">
        <v>6389</v>
      </c>
      <c r="E562" t="s">
        <v>475</v>
      </c>
      <c r="F562">
        <v>0</v>
      </c>
      <c r="G562" t="s">
        <v>476</v>
      </c>
      <c r="H562" t="s">
        <v>477</v>
      </c>
      <c r="I562" t="s">
        <v>478</v>
      </c>
    </row>
    <row r="563" spans="1:9" x14ac:dyDescent="0.55000000000000004">
      <c r="A563" t="s">
        <v>6991</v>
      </c>
      <c r="B563" t="s">
        <v>6772</v>
      </c>
      <c r="C563" s="7" t="str">
        <f>HYPERLINK("[#]Feature_Schema_1!A12176:F12176","BUILDING_SUPERSTRUCTURE_S")</f>
        <v>BUILDING_SUPERSTRUCTURE_S</v>
      </c>
      <c r="D563" t="s">
        <v>6390</v>
      </c>
      <c r="E563" t="s">
        <v>868</v>
      </c>
      <c r="F563">
        <v>0</v>
      </c>
      <c r="G563" t="s">
        <v>869</v>
      </c>
      <c r="H563" t="s">
        <v>870</v>
      </c>
      <c r="I563" t="s">
        <v>871</v>
      </c>
    </row>
    <row r="564" spans="1:9" x14ac:dyDescent="0.55000000000000004">
      <c r="A564" t="s">
        <v>6991</v>
      </c>
      <c r="B564" t="s">
        <v>6772</v>
      </c>
      <c r="C564" s="7" t="str">
        <f>HYPERLINK("[#]Feature_Schema_1!A22839:F22839","ENGINE_TEST_CELL_S")</f>
        <v>ENGINE_TEST_CELL_S</v>
      </c>
      <c r="D564" t="s">
        <v>6455</v>
      </c>
    </row>
    <row r="565" spans="1:9" x14ac:dyDescent="0.55000000000000004">
      <c r="A565" t="s">
        <v>6991</v>
      </c>
      <c r="B565" t="s">
        <v>6772</v>
      </c>
      <c r="C565" s="7" t="str">
        <f>HYPERLINK("[#]Feature_Schema_1!A38833:F38833","HUT_S")</f>
        <v>HUT_S</v>
      </c>
      <c r="D565" t="s">
        <v>6514</v>
      </c>
    </row>
    <row r="566" spans="1:9" x14ac:dyDescent="0.55000000000000004">
      <c r="A566" t="s">
        <v>6991</v>
      </c>
      <c r="B566" t="s">
        <v>6772</v>
      </c>
      <c r="C566" s="7" t="str">
        <f>HYPERLINK("[#]Feature_Schema_1!A52110:F52110","NON_BUILDING_STRUCTURE_S")</f>
        <v>NON_BUILDING_STRUCTURE_S</v>
      </c>
      <c r="D566" t="s">
        <v>6582</v>
      </c>
      <c r="E566" t="s">
        <v>479</v>
      </c>
      <c r="F566">
        <v>0</v>
      </c>
      <c r="G566" t="s">
        <v>480</v>
      </c>
      <c r="H566" t="s">
        <v>481</v>
      </c>
      <c r="I566" t="s">
        <v>482</v>
      </c>
    </row>
    <row r="567" spans="1:9" x14ac:dyDescent="0.55000000000000004">
      <c r="A567" t="s">
        <v>6991</v>
      </c>
      <c r="B567" t="s">
        <v>6772</v>
      </c>
      <c r="C567" s="7" t="str">
        <f>HYPERLINK("[#]Feature_Schema_1!A55335:F55335","PARTICLE_ACCELERATOR_S")</f>
        <v>PARTICLE_ACCELERATOR_S</v>
      </c>
      <c r="D567" t="s">
        <v>6594</v>
      </c>
      <c r="E567" t="s">
        <v>1034</v>
      </c>
      <c r="F567">
        <v>0</v>
      </c>
      <c r="G567" t="s">
        <v>1035</v>
      </c>
      <c r="H567" t="s">
        <v>1036</v>
      </c>
      <c r="I567" t="s">
        <v>1037</v>
      </c>
    </row>
    <row r="568" spans="1:9" x14ac:dyDescent="0.55000000000000004">
      <c r="A568" t="s">
        <v>6991</v>
      </c>
      <c r="B568" t="s">
        <v>6772</v>
      </c>
      <c r="C568" s="7" t="str">
        <f>HYPERLINK("[#]Feature_Schema_2!A9455:F9455","SHED_S")</f>
        <v>SHED_S</v>
      </c>
      <c r="D568" t="s">
        <v>6645</v>
      </c>
      <c r="E568" t="s">
        <v>872</v>
      </c>
      <c r="F568">
        <v>0</v>
      </c>
      <c r="G568" t="s">
        <v>741</v>
      </c>
      <c r="H568" t="s">
        <v>873</v>
      </c>
      <c r="I568" t="s">
        <v>874</v>
      </c>
    </row>
    <row r="569" spans="1:9" x14ac:dyDescent="0.55000000000000004">
      <c r="A569" t="s">
        <v>6991</v>
      </c>
      <c r="B569" t="s">
        <v>6784</v>
      </c>
      <c r="C569" s="7" t="str">
        <f>HYPERLINK("[#]Feature_Schema_2!A14770:F14770","STAIR_C")</f>
        <v>STAIR_C</v>
      </c>
      <c r="D569" t="s">
        <v>6672</v>
      </c>
      <c r="E569" t="s">
        <v>1746</v>
      </c>
      <c r="F569">
        <v>0</v>
      </c>
      <c r="G569" t="s">
        <v>1747</v>
      </c>
      <c r="H569" t="s">
        <v>1748</v>
      </c>
      <c r="I569" t="s">
        <v>1749</v>
      </c>
    </row>
    <row r="570" spans="1:9" x14ac:dyDescent="0.55000000000000004">
      <c r="A570" t="s">
        <v>6991</v>
      </c>
      <c r="B570" t="s">
        <v>6772</v>
      </c>
      <c r="C570" s="7" t="str">
        <f>HYPERLINK("[#]Feature_Schema_2!A14825:F14825","STAIR_S")</f>
        <v>STAIR_S</v>
      </c>
      <c r="D570" t="s">
        <v>6672</v>
      </c>
      <c r="E570" t="s">
        <v>1746</v>
      </c>
      <c r="F570">
        <v>0</v>
      </c>
      <c r="G570" t="s">
        <v>1747</v>
      </c>
      <c r="H570" t="s">
        <v>1748</v>
      </c>
      <c r="I570" t="s">
        <v>1749</v>
      </c>
    </row>
    <row r="571" spans="1:9" x14ac:dyDescent="0.55000000000000004">
      <c r="A571" t="s">
        <v>6991</v>
      </c>
      <c r="B571" t="s">
        <v>6772</v>
      </c>
      <c r="C571" s="7" t="str">
        <f>HYPERLINK("[#]Feature_Schema_2!A19727:F19727","TOWER_S")</f>
        <v>TOWER_S</v>
      </c>
      <c r="D571" t="s">
        <v>1102</v>
      </c>
    </row>
    <row r="572" spans="1:9" x14ac:dyDescent="0.55000000000000004">
      <c r="A572" t="s">
        <v>6869</v>
      </c>
      <c r="C572" s="7" t="str">
        <f>HYPERLINK("[#]Feature_Schema_1!A15849:F15849","CODE_LIST_T")</f>
        <v>CODE_LIST_T</v>
      </c>
      <c r="D572" t="s">
        <v>6414</v>
      </c>
    </row>
    <row r="573" spans="1:9" x14ac:dyDescent="0.55000000000000004">
      <c r="A573" t="s">
        <v>6869</v>
      </c>
      <c r="B573" s="9"/>
      <c r="C573" s="8" t="str">
        <f>HYPERLINK("[#]Feature_Schema_1!A19340:F19340","DATASET_T")</f>
        <v>DATASET_T</v>
      </c>
      <c r="D573" s="9" t="s">
        <v>6434</v>
      </c>
      <c r="E573" t="s">
        <v>6267</v>
      </c>
      <c r="F573">
        <v>0</v>
      </c>
      <c r="G573" t="s">
        <v>6268</v>
      </c>
      <c r="H573" t="s">
        <v>6269</v>
      </c>
      <c r="I573" t="s">
        <v>6270</v>
      </c>
    </row>
    <row r="574" spans="1:9" x14ac:dyDescent="0.55000000000000004">
      <c r="A574" t="s">
        <v>6869</v>
      </c>
      <c r="B574" s="9"/>
      <c r="C574" s="8" t="str">
        <f>HYPERLINK("[#]Feature_Schema_1!A23217:F23217","ENTITY_COLLECTION_METADATA_T")</f>
        <v>ENTITY_COLLECTION_METADATA_T</v>
      </c>
      <c r="D574" s="9" t="s">
        <v>6458</v>
      </c>
    </row>
    <row r="575" spans="1:9" x14ac:dyDescent="0.55000000000000004">
      <c r="A575" t="s">
        <v>6869</v>
      </c>
      <c r="B575" s="9"/>
      <c r="C575" s="8" t="str">
        <f>HYPERLINK("[#]Feature_Schema_2!A3831:F3831","RESTRICTION_INFO_T")</f>
        <v>RESTRICTION_INFO_T</v>
      </c>
      <c r="D575" s="9" t="s">
        <v>6621</v>
      </c>
      <c r="E575" t="s">
        <v>6159</v>
      </c>
      <c r="F575">
        <v>0</v>
      </c>
      <c r="G575" t="s">
        <v>6160</v>
      </c>
      <c r="H575" t="s">
        <v>6161</v>
      </c>
      <c r="I575" t="s">
        <v>6162</v>
      </c>
    </row>
    <row r="576" spans="1:9" x14ac:dyDescent="0.55000000000000004">
      <c r="A576" t="s">
        <v>6990</v>
      </c>
      <c r="B576" t="s">
        <v>6747</v>
      </c>
      <c r="C576" s="7" t="str">
        <f>HYPERLINK("[#]Feature_Schema_1!A559:F559","AERO_RADIO_NAV_INSTALLATION_P")</f>
        <v>AERO_RADIO_NAV_INSTALLATION_P</v>
      </c>
      <c r="D576" t="s">
        <v>6351</v>
      </c>
    </row>
    <row r="577" spans="1:5" x14ac:dyDescent="0.55000000000000004">
      <c r="A577" t="s">
        <v>6990</v>
      </c>
      <c r="B577" t="s">
        <v>6747</v>
      </c>
      <c r="C577" s="7" t="str">
        <f>HYPERLINK("[#]Feature_Schema_1!A705:F705","AERODROME_BEACON_P")</f>
        <v>AERODROME_BEACON_P</v>
      </c>
      <c r="D577" t="s">
        <v>6352</v>
      </c>
    </row>
    <row r="578" spans="1:5" x14ac:dyDescent="0.55000000000000004">
      <c r="A578" t="s">
        <v>6990</v>
      </c>
      <c r="B578" t="s">
        <v>6762</v>
      </c>
      <c r="C578" s="7" t="str">
        <f>HYPERLINK("[#]Feature_Schema_1!A2866:F2866","AQUEDUCT_AON_S")</f>
        <v>AQUEDUCT_AON_S</v>
      </c>
      <c r="D578" t="s">
        <v>6363</v>
      </c>
    </row>
    <row r="579" spans="1:5" x14ac:dyDescent="0.55000000000000004">
      <c r="A579" t="s">
        <v>6990</v>
      </c>
      <c r="B579" t="s">
        <v>6765</v>
      </c>
      <c r="C579" s="7" t="str">
        <f>HYPERLINK("[#]Feature_Schema_1!A3656:F3656","AQUIFER_S")</f>
        <v>AQUIFER_S</v>
      </c>
      <c r="D579" t="s">
        <v>6365</v>
      </c>
    </row>
    <row r="580" spans="1:5" x14ac:dyDescent="0.55000000000000004">
      <c r="A580" t="s">
        <v>6990</v>
      </c>
      <c r="B580" t="s">
        <v>6780</v>
      </c>
      <c r="C580" s="7" t="str">
        <f>HYPERLINK("[#]Feature_Schema_1!A6054:F6054","BOREHOLE_P")</f>
        <v>BOREHOLE_P</v>
      </c>
      <c r="D580" t="s">
        <v>6380</v>
      </c>
    </row>
    <row r="581" spans="1:5" x14ac:dyDescent="0.55000000000000004">
      <c r="A581" t="s">
        <v>6990</v>
      </c>
      <c r="B581" t="s">
        <v>6789</v>
      </c>
      <c r="C581" s="7" t="str">
        <f>HYPERLINK("[#]Feature_Schema_1!A13529:F13529","CANTONMENT_AREA_S")</f>
        <v>CANTONMENT_AREA_S</v>
      </c>
      <c r="D581" t="s">
        <v>6400</v>
      </c>
    </row>
    <row r="582" spans="1:5" x14ac:dyDescent="0.55000000000000004">
      <c r="A582" t="s">
        <v>6990</v>
      </c>
      <c r="B582" t="s">
        <v>6790</v>
      </c>
      <c r="C582" s="7" t="str">
        <f>HYPERLINK("[#]Feature_Schema_1!A13801:F13801","CASTLE_COMPLEX_P")</f>
        <v>CASTLE_COMPLEX_P</v>
      </c>
      <c r="D582" t="s">
        <v>6403</v>
      </c>
      <c r="E582" s="11"/>
    </row>
    <row r="583" spans="1:5" x14ac:dyDescent="0.55000000000000004">
      <c r="A583" t="s">
        <v>6990</v>
      </c>
      <c r="B583" t="s">
        <v>6789</v>
      </c>
      <c r="C583" s="7" t="str">
        <f>HYPERLINK("[#]Feature_Schema_1!A13931:F13931","CASTLE_COMPLEX_S")</f>
        <v>CASTLE_COMPLEX_S</v>
      </c>
      <c r="D583" t="s">
        <v>6403</v>
      </c>
      <c r="E583" s="11"/>
    </row>
    <row r="584" spans="1:5" x14ac:dyDescent="0.55000000000000004">
      <c r="A584" t="s">
        <v>6990</v>
      </c>
      <c r="B584" t="s">
        <v>6765</v>
      </c>
      <c r="C584" s="7" t="str">
        <f>HYPERLINK("[#]Feature_Schema_1!A14871:F14871","CAVE_CHAMBER_S")</f>
        <v>CAVE_CHAMBER_S</v>
      </c>
      <c r="D584" t="s">
        <v>6407</v>
      </c>
    </row>
    <row r="585" spans="1:5" x14ac:dyDescent="0.55000000000000004">
      <c r="A585" t="s">
        <v>6990</v>
      </c>
      <c r="B585" t="s">
        <v>6791</v>
      </c>
      <c r="C585" s="7" t="str">
        <f>HYPERLINK("[#]Feature_Schema_1!A14969:F14969","CAVE_MOUTH_P")</f>
        <v>CAVE_MOUTH_P</v>
      </c>
      <c r="D585" t="s">
        <v>6408</v>
      </c>
    </row>
    <row r="586" spans="1:5" x14ac:dyDescent="0.55000000000000004">
      <c r="A586" t="s">
        <v>6990</v>
      </c>
      <c r="B586" t="s">
        <v>6762</v>
      </c>
      <c r="C586" s="7" t="str">
        <f>HYPERLINK("[#]Feature_Schema_1!A15340:F15340","CISTERN_AON_S")</f>
        <v>CISTERN_AON_S</v>
      </c>
      <c r="D586" t="s">
        <v>6411</v>
      </c>
    </row>
    <row r="587" spans="1:5" x14ac:dyDescent="0.55000000000000004">
      <c r="A587" t="s">
        <v>6990</v>
      </c>
      <c r="B587" t="s">
        <v>6762</v>
      </c>
      <c r="C587" s="7" t="str">
        <f>HYPERLINK("[#]Feature_Schema_1!A20288:F20288","DITCH_AON_S")</f>
        <v>DITCH_AON_S</v>
      </c>
      <c r="D587" t="s">
        <v>6445</v>
      </c>
    </row>
    <row r="588" spans="1:5" x14ac:dyDescent="0.55000000000000004">
      <c r="A588" t="s">
        <v>6990</v>
      </c>
      <c r="B588" t="s">
        <v>6800</v>
      </c>
      <c r="C588" s="7" t="str">
        <f>HYPERLINK("[#]Feature_Schema_1!A22920:F22920","ENGINEERED_EARTHWORK_C")</f>
        <v>ENGINEERED_EARTHWORK_C</v>
      </c>
      <c r="D588" t="s">
        <v>6456</v>
      </c>
    </row>
    <row r="589" spans="1:5" x14ac:dyDescent="0.55000000000000004">
      <c r="A589" t="s">
        <v>6990</v>
      </c>
      <c r="B589" t="s">
        <v>6789</v>
      </c>
      <c r="C589" s="7" t="str">
        <f>HYPERLINK("[#]Feature_Schema_1!A23018:F23018","ENGINEERED_EARTHWORK_S")</f>
        <v>ENGINEERED_EARTHWORK_S</v>
      </c>
      <c r="D589" t="s">
        <v>6456</v>
      </c>
    </row>
    <row r="590" spans="1:5" x14ac:dyDescent="0.55000000000000004">
      <c r="A590" t="s">
        <v>6990</v>
      </c>
      <c r="B590" t="s">
        <v>6783</v>
      </c>
      <c r="C590" s="7" t="str">
        <f>HYPERLINK("[#]Feature_Schema_1!A23116:F23116","ENGINEERED_TURNAROUND_SITE_P")</f>
        <v>ENGINEERED_TURNAROUND_SITE_P</v>
      </c>
      <c r="D590" t="s">
        <v>6457</v>
      </c>
    </row>
    <row r="591" spans="1:5" x14ac:dyDescent="0.55000000000000004">
      <c r="A591" t="s">
        <v>6990</v>
      </c>
      <c r="B591" s="9" t="s">
        <v>6805</v>
      </c>
      <c r="C591" s="8" t="str">
        <f>HYPERLINK("[#]Feature_Schema_1!A23191:F23191","ENTITY_COLLECTION_METADATA_S")</f>
        <v>ENTITY_COLLECTION_METADATA_S</v>
      </c>
      <c r="D591" s="9" t="s">
        <v>6458</v>
      </c>
    </row>
    <row r="592" spans="1:5" x14ac:dyDescent="0.55000000000000004">
      <c r="A592" t="s">
        <v>6990</v>
      </c>
      <c r="B592" t="s">
        <v>6790</v>
      </c>
      <c r="C592" s="7" t="str">
        <f>HYPERLINK("[#]Feature_Schema_1!A30507:F30507","FORTIFIED_BUILDING_P")</f>
        <v>FORTIFIED_BUILDING_P</v>
      </c>
      <c r="D592" t="s">
        <v>6481</v>
      </c>
    </row>
    <row r="593" spans="1:4" x14ac:dyDescent="0.55000000000000004">
      <c r="A593" t="s">
        <v>6990</v>
      </c>
      <c r="B593" t="s">
        <v>6789</v>
      </c>
      <c r="C593" s="7" t="str">
        <f>HYPERLINK("[#]Feature_Schema_1!A32150:F32150","FORTIFIED_BUILDING_S")</f>
        <v>FORTIFIED_BUILDING_S</v>
      </c>
      <c r="D593" t="s">
        <v>6481</v>
      </c>
    </row>
    <row r="594" spans="1:4" x14ac:dyDescent="0.55000000000000004">
      <c r="A594" t="s">
        <v>6990</v>
      </c>
      <c r="B594" t="s">
        <v>6762</v>
      </c>
      <c r="C594" s="7" t="str">
        <f>HYPERLINK("[#]Feature_Schema_1!A40411:F40411","INLAND_WATERBODY_AON_S")</f>
        <v>INLAND_WATERBODY_AON_S</v>
      </c>
      <c r="D594" t="s">
        <v>6524</v>
      </c>
    </row>
    <row r="595" spans="1:4" x14ac:dyDescent="0.55000000000000004">
      <c r="A595" t="s">
        <v>6990</v>
      </c>
      <c r="B595" t="s">
        <v>6800</v>
      </c>
      <c r="C595" s="7" t="str">
        <f>HYPERLINK("[#]Feature_Schema_1!A41306:F41306","INSTALLATION_BOUNDARY_C")</f>
        <v>INSTALLATION_BOUNDARY_C</v>
      </c>
      <c r="D595" t="s">
        <v>6526</v>
      </c>
    </row>
    <row r="596" spans="1:4" x14ac:dyDescent="0.55000000000000004">
      <c r="A596" t="s">
        <v>6990</v>
      </c>
      <c r="B596" t="s">
        <v>6747</v>
      </c>
      <c r="C596" s="7" t="str">
        <f>HYPERLINK("[#]Feature_Schema_1!A42751:F42751","LANDING_ZONE_P")</f>
        <v>LANDING_ZONE_P</v>
      </c>
      <c r="D596" t="s">
        <v>6537</v>
      </c>
    </row>
    <row r="597" spans="1:4" x14ac:dyDescent="0.55000000000000004">
      <c r="A597" t="s">
        <v>6990</v>
      </c>
      <c r="B597" t="s">
        <v>6816</v>
      </c>
      <c r="C597" s="7" t="str">
        <f>HYPERLINK("[#]Feature_Schema_1!A42781:F42781","LANDING_ZONE_S")</f>
        <v>LANDING_ZONE_S</v>
      </c>
      <c r="D597" t="s">
        <v>6537</v>
      </c>
    </row>
    <row r="598" spans="1:4" x14ac:dyDescent="0.55000000000000004">
      <c r="A598" t="s">
        <v>6990</v>
      </c>
      <c r="B598" t="s">
        <v>6771</v>
      </c>
      <c r="C598" s="7" t="str">
        <f>HYPERLINK("[#]Feature_Schema_1!A44215:F44215","MANOR_HOUSE_P")</f>
        <v>MANOR_HOUSE_P</v>
      </c>
      <c r="D598" t="s">
        <v>6549</v>
      </c>
    </row>
    <row r="599" spans="1:4" x14ac:dyDescent="0.55000000000000004">
      <c r="A599" t="s">
        <v>6990</v>
      </c>
      <c r="B599" t="s">
        <v>6772</v>
      </c>
      <c r="C599" s="7" t="str">
        <f>HYPERLINK("[#]Feature_Schema_1!A44356:F44356","MANOR_HOUSE_S")</f>
        <v>MANOR_HOUSE_S</v>
      </c>
      <c r="D599" t="s">
        <v>6549</v>
      </c>
    </row>
    <row r="600" spans="1:4" x14ac:dyDescent="0.55000000000000004">
      <c r="A600" t="s">
        <v>6990</v>
      </c>
      <c r="B600" t="s">
        <v>6786</v>
      </c>
      <c r="C600" s="7" t="str">
        <f>HYPERLINK("[#]Feature_Schema_1!A44497:F44497","MANUFACTURED_HOME_PARK_S")</f>
        <v>MANUFACTURED_HOME_PARK_S</v>
      </c>
      <c r="D600" t="s">
        <v>6550</v>
      </c>
    </row>
    <row r="601" spans="1:4" x14ac:dyDescent="0.55000000000000004">
      <c r="A601" t="s">
        <v>6990</v>
      </c>
      <c r="B601" t="s">
        <v>6787</v>
      </c>
      <c r="C601" s="7" t="str">
        <f>HYPERLINK("[#]Feature_Schema_1!A45369:F45369","MARITIME_NAV_LIGHT_SUPPORT_P")</f>
        <v>MARITIME_NAV_LIGHT_SUPPORT_P</v>
      </c>
      <c r="D601" t="s">
        <v>6554</v>
      </c>
    </row>
    <row r="602" spans="1:4" x14ac:dyDescent="0.55000000000000004">
      <c r="A602" t="s">
        <v>6990</v>
      </c>
      <c r="B602" t="s">
        <v>6822</v>
      </c>
      <c r="C602" s="7" t="str">
        <f>HYPERLINK("[#]Feature_Schema_1!A47327:F47327","MILITARY_BOUNDARY_C")</f>
        <v>MILITARY_BOUNDARY_C</v>
      </c>
      <c r="D602" t="s">
        <v>6565</v>
      </c>
    </row>
    <row r="603" spans="1:4" x14ac:dyDescent="0.55000000000000004">
      <c r="A603" t="s">
        <v>6990</v>
      </c>
      <c r="B603" t="s">
        <v>6780</v>
      </c>
      <c r="C603" s="7" t="str">
        <f>HYPERLINK("[#]Feature_Schema_1!A47616:F47616","MINE_SHAFT_SUPERSTRUCTURE_P")</f>
        <v>MINE_SHAFT_SUPERSTRUCTURE_P</v>
      </c>
      <c r="D603" t="s">
        <v>6567</v>
      </c>
    </row>
    <row r="604" spans="1:4" x14ac:dyDescent="0.55000000000000004">
      <c r="A604" t="s">
        <v>6990</v>
      </c>
      <c r="B604" t="s">
        <v>6744</v>
      </c>
      <c r="C604" s="7" t="str">
        <f>HYPERLINK("[#]Feature_Schema_1!A47732:F47732","MINE_SHAFT_SUPERSTRUCTURE_S")</f>
        <v>MINE_SHAFT_SUPERSTRUCTURE_S</v>
      </c>
      <c r="D604" t="s">
        <v>6567</v>
      </c>
    </row>
    <row r="605" spans="1:4" x14ac:dyDescent="0.55000000000000004">
      <c r="A605" t="s">
        <v>6990</v>
      </c>
      <c r="B605" t="s">
        <v>6762</v>
      </c>
      <c r="C605" s="7" t="str">
        <f>HYPERLINK("[#]Feature_Schema_1!A49392:F49392","NATURAL_POOL_AON_S")</f>
        <v>NATURAL_POOL_AON_S</v>
      </c>
      <c r="D605" t="s">
        <v>6576</v>
      </c>
    </row>
    <row r="606" spans="1:4" x14ac:dyDescent="0.55000000000000004">
      <c r="A606" t="s">
        <v>6990</v>
      </c>
      <c r="B606" t="s">
        <v>6824</v>
      </c>
      <c r="C606" s="7" t="str">
        <f>HYPERLINK("[#]Feature_Schema_1!A50154:F50154","NAVIGABLE_CANAL_AON_S")</f>
        <v>NAVIGABLE_CANAL_AON_S</v>
      </c>
      <c r="D606" t="s">
        <v>6579</v>
      </c>
    </row>
    <row r="607" spans="1:4" x14ac:dyDescent="0.55000000000000004">
      <c r="A607" t="s">
        <v>6990</v>
      </c>
      <c r="B607" t="s">
        <v>6825</v>
      </c>
      <c r="C607" s="7" t="str">
        <f>HYPERLINK("[#]Feature_Schema_1!A51559:F51559","NEIGHBOURHOOD_S")</f>
        <v>NEIGHBOURHOOD_S</v>
      </c>
      <c r="D607" t="s">
        <v>6581</v>
      </c>
    </row>
    <row r="608" spans="1:4" x14ac:dyDescent="0.55000000000000004">
      <c r="A608" t="s">
        <v>6990</v>
      </c>
      <c r="B608" t="s">
        <v>6828</v>
      </c>
      <c r="C608" s="7" t="str">
        <f>HYPERLINK("[#]Feature_Schema_1!A55505:F55505","PIPELINE_AON_S")</f>
        <v>PIPELINE_AON_S</v>
      </c>
      <c r="D608" t="s">
        <v>6597</v>
      </c>
    </row>
    <row r="609" spans="1:4" x14ac:dyDescent="0.55000000000000004">
      <c r="A609" t="s">
        <v>6990</v>
      </c>
      <c r="B609" t="s">
        <v>6830</v>
      </c>
      <c r="C609" s="7" t="str">
        <f>HYPERLINK("[#]Feature_Schema_2!A1007:F1007","PUMP_P")</f>
        <v>PUMP_P</v>
      </c>
      <c r="D609" t="s">
        <v>6606</v>
      </c>
    </row>
    <row r="610" spans="1:4" x14ac:dyDescent="0.55000000000000004">
      <c r="A610" t="s">
        <v>6990</v>
      </c>
      <c r="B610" t="s">
        <v>6828</v>
      </c>
      <c r="C610" s="7" t="str">
        <f>HYPERLINK("[#]Feature_Schema_2!A1098:F1098","PUMPING_STATION_AON_S")</f>
        <v>PUMPING_STATION_AON_S</v>
      </c>
      <c r="D610" t="s">
        <v>6607</v>
      </c>
    </row>
    <row r="611" spans="1:4" x14ac:dyDescent="0.55000000000000004">
      <c r="A611" t="s">
        <v>6990</v>
      </c>
      <c r="B611" t="s">
        <v>6762</v>
      </c>
      <c r="C611" s="7" t="str">
        <f>HYPERLINK("[#]Feature_Schema_2!A4367:F4367","RIVER_AON_S")</f>
        <v>RIVER_AON_S</v>
      </c>
      <c r="D611" t="s">
        <v>6625</v>
      </c>
    </row>
    <row r="612" spans="1:4" x14ac:dyDescent="0.55000000000000004">
      <c r="A612" t="s">
        <v>6990</v>
      </c>
      <c r="B612" t="s">
        <v>6831</v>
      </c>
      <c r="C612" s="7" t="str">
        <f>HYPERLINK("[#]Feature_Schema_2!A7203:F7203","SABKHA_AON_S")</f>
        <v>SABKHA_AON_S</v>
      </c>
      <c r="D612" t="s">
        <v>6632</v>
      </c>
    </row>
    <row r="613" spans="1:4" x14ac:dyDescent="0.55000000000000004">
      <c r="A613" t="s">
        <v>6990</v>
      </c>
      <c r="B613" t="s">
        <v>6830</v>
      </c>
      <c r="C613" s="7" t="str">
        <f>HYPERLINK("[#]Feature_Schema_2!A14880:F14880","STANDPIPE_P")</f>
        <v>STANDPIPE_P</v>
      </c>
      <c r="D613" t="s">
        <v>6673</v>
      </c>
    </row>
    <row r="614" spans="1:4" x14ac:dyDescent="0.55000000000000004">
      <c r="A614" t="s">
        <v>6990</v>
      </c>
      <c r="B614" t="s">
        <v>6834</v>
      </c>
      <c r="C614" s="7" t="str">
        <f>HYPERLINK("[#]Feature_Schema_2!A15634:F15634","STORAGE_TANK_AON_S")</f>
        <v>STORAGE_TANK_AON_S</v>
      </c>
      <c r="D614" t="s">
        <v>6678</v>
      </c>
    </row>
    <row r="615" spans="1:4" x14ac:dyDescent="0.55000000000000004">
      <c r="A615" t="s">
        <v>6990</v>
      </c>
      <c r="B615" t="s">
        <v>6833</v>
      </c>
      <c r="C615" s="7" t="str">
        <f>HYPERLINK("[#]Feature_Schema_2!A17084:F17084","SURVEY_POINT_P")</f>
        <v>SURVEY_POINT_P</v>
      </c>
      <c r="D615" t="s">
        <v>6684</v>
      </c>
    </row>
    <row r="616" spans="1:4" x14ac:dyDescent="0.55000000000000004">
      <c r="A616" t="s">
        <v>6990</v>
      </c>
      <c r="B616" t="s">
        <v>6835</v>
      </c>
      <c r="C616" s="7" t="str">
        <f>HYPERLINK("[#]Feature_Schema_2!A17527:F17527","SWIMMING_POOL_AON_S")</f>
        <v>SWIMMING_POOL_AON_S</v>
      </c>
      <c r="D616" t="s">
        <v>6687</v>
      </c>
    </row>
    <row r="617" spans="1:4" x14ac:dyDescent="0.55000000000000004">
      <c r="A617" t="s">
        <v>6990</v>
      </c>
      <c r="B617" t="s">
        <v>6783</v>
      </c>
      <c r="C617" s="7" t="str">
        <f>HYPERLINK("[#]Feature_Schema_2!A18016:F18016","TANK_CROSSING_P")</f>
        <v>TANK_CROSSING_P</v>
      </c>
      <c r="D617" t="s">
        <v>6689</v>
      </c>
    </row>
    <row r="618" spans="1:4" x14ac:dyDescent="0.55000000000000004">
      <c r="A618" t="s">
        <v>6990</v>
      </c>
      <c r="B618" t="s">
        <v>6767</v>
      </c>
      <c r="C618" s="7" t="str">
        <f>HYPERLINK("[#]Feature_Schema_2!A18104:F18104","TANK_CROSSING_S")</f>
        <v>TANK_CROSSING_S</v>
      </c>
      <c r="D618" t="s">
        <v>6689</v>
      </c>
    </row>
    <row r="619" spans="1:4" x14ac:dyDescent="0.55000000000000004">
      <c r="A619" t="s">
        <v>6990</v>
      </c>
      <c r="B619" t="s">
        <v>6766</v>
      </c>
      <c r="C619" s="7" t="str">
        <f>HYPERLINK("[#]Feature_Schema_2!A18452:F18452","TANK_TRAIL_C")</f>
        <v>TANK_TRAIL_C</v>
      </c>
      <c r="D619" t="s">
        <v>6691</v>
      </c>
    </row>
    <row r="620" spans="1:4" x14ac:dyDescent="0.55000000000000004">
      <c r="A620" t="s">
        <v>6990</v>
      </c>
      <c r="B620" t="s">
        <v>6767</v>
      </c>
      <c r="C620" s="7" t="str">
        <f>HYPERLINK("[#]Feature_Schema_2!A18533:F18533","TANK_TRAIL_S")</f>
        <v>TANK_TRAIL_S</v>
      </c>
      <c r="D620" t="s">
        <v>6691</v>
      </c>
    </row>
    <row r="621" spans="1:4" x14ac:dyDescent="0.55000000000000004">
      <c r="A621" t="s">
        <v>6990</v>
      </c>
      <c r="B621" t="s">
        <v>6766</v>
      </c>
      <c r="C621" s="7" t="str">
        <f>HYPERLINK("[#]Feature_Schema_2!A20481:F20481","TRANS_ROUTE_CHARACTER_CHANGE_C")</f>
        <v>TRANS_ROUTE_CHARACTER_CHANGE_C</v>
      </c>
      <c r="D621" t="s">
        <v>6703</v>
      </c>
    </row>
    <row r="622" spans="1:4" x14ac:dyDescent="0.55000000000000004">
      <c r="A622" t="s">
        <v>6990</v>
      </c>
      <c r="B622" t="s">
        <v>6783</v>
      </c>
      <c r="C622" s="7" t="str">
        <f>HYPERLINK("[#]Feature_Schema_2!A20605:F20605","TRANS_ROUTE_CHARACTER_CHANGE_P")</f>
        <v>TRANS_ROUTE_CHARACTER_CHANGE_P</v>
      </c>
      <c r="D622" t="s">
        <v>6703</v>
      </c>
    </row>
    <row r="623" spans="1:4" x14ac:dyDescent="0.55000000000000004">
      <c r="A623" t="s">
        <v>6990</v>
      </c>
      <c r="B623" t="s">
        <v>6792</v>
      </c>
      <c r="C623" s="7" t="str">
        <f>HYPERLINK("[#]Feature_Schema_2!A24126:F24126","WATER_MEASUREMENT_LOCATION_P")</f>
        <v>WATER_MEASUREMENT_LOCATION_P</v>
      </c>
      <c r="D623" t="s">
        <v>6725</v>
      </c>
    </row>
    <row r="624" spans="1:4" x14ac:dyDescent="0.55000000000000004">
      <c r="A624" t="s">
        <v>6990</v>
      </c>
      <c r="B624" t="s">
        <v>6764</v>
      </c>
      <c r="C624" s="7" t="str">
        <f>HYPERLINK("[#]Feature_Schema_2!A24265:F24265","WATER_MEASUREMENT_LOCATION_S")</f>
        <v>WATER_MEASUREMENT_LOCATION_S</v>
      </c>
      <c r="D624" t="s">
        <v>6725</v>
      </c>
    </row>
    <row r="625" spans="1:9" x14ac:dyDescent="0.55000000000000004">
      <c r="A625" t="s">
        <v>6990</v>
      </c>
      <c r="B625" t="s">
        <v>6762</v>
      </c>
      <c r="C625" s="7" t="str">
        <f>HYPERLINK("[#]Feature_Schema_2!A25677:F25677","WATER_WELL_AON_S")</f>
        <v>WATER_WELL_AON_S</v>
      </c>
      <c r="D625" t="s">
        <v>6732</v>
      </c>
    </row>
    <row r="626" spans="1:9" x14ac:dyDescent="0.55000000000000004">
      <c r="E626" t="s">
        <v>13</v>
      </c>
      <c r="F626">
        <v>0</v>
      </c>
      <c r="G626" t="s">
        <v>14</v>
      </c>
      <c r="H626" t="s">
        <v>15</v>
      </c>
      <c r="I626" t="s">
        <v>16</v>
      </c>
    </row>
    <row r="627" spans="1:9" x14ac:dyDescent="0.55000000000000004">
      <c r="E627" t="s">
        <v>17</v>
      </c>
      <c r="F627">
        <v>0</v>
      </c>
      <c r="G627" t="s">
        <v>18</v>
      </c>
      <c r="H627" t="s">
        <v>19</v>
      </c>
      <c r="I627" t="s">
        <v>20</v>
      </c>
    </row>
    <row r="628" spans="1:9" x14ac:dyDescent="0.55000000000000004">
      <c r="C628" s="7"/>
      <c r="E628" t="s">
        <v>25</v>
      </c>
      <c r="F628">
        <v>0</v>
      </c>
      <c r="G628" t="s">
        <v>26</v>
      </c>
      <c r="H628" t="s">
        <v>27</v>
      </c>
      <c r="I628" t="s">
        <v>28</v>
      </c>
    </row>
    <row r="629" spans="1:9" x14ac:dyDescent="0.55000000000000004">
      <c r="C629" s="7"/>
      <c r="E629" t="s">
        <v>29</v>
      </c>
      <c r="F629">
        <v>0</v>
      </c>
      <c r="G629" t="s">
        <v>30</v>
      </c>
      <c r="H629" t="s">
        <v>31</v>
      </c>
      <c r="I629" t="s">
        <v>32</v>
      </c>
    </row>
    <row r="630" spans="1:9" x14ac:dyDescent="0.55000000000000004">
      <c r="C630" s="7"/>
      <c r="E630" t="s">
        <v>37</v>
      </c>
      <c r="F630">
        <v>0</v>
      </c>
      <c r="G630" t="s">
        <v>38</v>
      </c>
      <c r="H630" t="s">
        <v>39</v>
      </c>
      <c r="I630" t="s">
        <v>40</v>
      </c>
    </row>
    <row r="631" spans="1:9" x14ac:dyDescent="0.55000000000000004">
      <c r="C631" s="7"/>
      <c r="E631" t="s">
        <v>49</v>
      </c>
      <c r="F631">
        <v>0</v>
      </c>
      <c r="G631" t="s">
        <v>50</v>
      </c>
      <c r="H631" t="s">
        <v>51</v>
      </c>
      <c r="I631" t="s">
        <v>52</v>
      </c>
    </row>
    <row r="632" spans="1:9" x14ac:dyDescent="0.55000000000000004">
      <c r="C632" s="7"/>
      <c r="E632" t="s">
        <v>53</v>
      </c>
      <c r="F632">
        <v>0</v>
      </c>
      <c r="G632" t="s">
        <v>54</v>
      </c>
      <c r="H632" t="s">
        <v>51</v>
      </c>
      <c r="I632" t="s">
        <v>55</v>
      </c>
    </row>
    <row r="633" spans="1:9" x14ac:dyDescent="0.55000000000000004">
      <c r="C633" s="7"/>
      <c r="E633" t="s">
        <v>60</v>
      </c>
      <c r="F633">
        <v>0</v>
      </c>
      <c r="G633" t="s">
        <v>61</v>
      </c>
      <c r="H633" t="s">
        <v>62</v>
      </c>
      <c r="I633" t="s">
        <v>63</v>
      </c>
    </row>
    <row r="634" spans="1:9" x14ac:dyDescent="0.55000000000000004">
      <c r="C634" s="7"/>
      <c r="E634" t="s">
        <v>72</v>
      </c>
      <c r="F634">
        <v>0</v>
      </c>
      <c r="G634" t="s">
        <v>73</v>
      </c>
      <c r="H634" t="s">
        <v>74</v>
      </c>
      <c r="I634" t="s">
        <v>75</v>
      </c>
    </row>
    <row r="635" spans="1:9" x14ac:dyDescent="0.55000000000000004">
      <c r="C635" s="7"/>
      <c r="E635" t="s">
        <v>92</v>
      </c>
      <c r="F635">
        <v>0</v>
      </c>
      <c r="G635" t="s">
        <v>93</v>
      </c>
      <c r="H635" t="s">
        <v>94</v>
      </c>
      <c r="I635" t="s">
        <v>95</v>
      </c>
    </row>
    <row r="636" spans="1:9" x14ac:dyDescent="0.55000000000000004">
      <c r="E636" t="s">
        <v>100</v>
      </c>
      <c r="F636">
        <v>0</v>
      </c>
      <c r="G636" t="s">
        <v>101</v>
      </c>
      <c r="H636" t="s">
        <v>102</v>
      </c>
      <c r="I636" t="s">
        <v>103</v>
      </c>
    </row>
    <row r="637" spans="1:9" x14ac:dyDescent="0.55000000000000004">
      <c r="C637" s="7"/>
      <c r="E637" t="s">
        <v>113</v>
      </c>
      <c r="F637">
        <v>1</v>
      </c>
      <c r="G637" t="s">
        <v>114</v>
      </c>
      <c r="H637" t="s">
        <v>115</v>
      </c>
      <c r="I637" t="s">
        <v>109</v>
      </c>
    </row>
    <row r="638" spans="1:9" x14ac:dyDescent="0.55000000000000004">
      <c r="C638" s="7"/>
      <c r="E638" t="s">
        <v>116</v>
      </c>
      <c r="F638">
        <v>2</v>
      </c>
      <c r="G638" t="s">
        <v>117</v>
      </c>
      <c r="H638" t="s">
        <v>118</v>
      </c>
      <c r="I638" t="s">
        <v>109</v>
      </c>
    </row>
    <row r="639" spans="1:9" x14ac:dyDescent="0.55000000000000004">
      <c r="C639" s="7"/>
      <c r="E639" t="s">
        <v>119</v>
      </c>
      <c r="F639">
        <v>3</v>
      </c>
      <c r="G639" t="s">
        <v>120</v>
      </c>
      <c r="H639" t="s">
        <v>121</v>
      </c>
      <c r="I639" t="s">
        <v>109</v>
      </c>
    </row>
    <row r="640" spans="1:9" x14ac:dyDescent="0.55000000000000004">
      <c r="C640" s="7"/>
      <c r="E640" t="s">
        <v>122</v>
      </c>
      <c r="F640">
        <v>4</v>
      </c>
      <c r="G640" t="s">
        <v>123</v>
      </c>
      <c r="H640" t="s">
        <v>124</v>
      </c>
      <c r="I640" t="s">
        <v>109</v>
      </c>
    </row>
    <row r="641" spans="3:9" x14ac:dyDescent="0.55000000000000004">
      <c r="C641" s="7"/>
      <c r="E641" t="s">
        <v>125</v>
      </c>
      <c r="F641">
        <v>5</v>
      </c>
      <c r="G641" t="s">
        <v>126</v>
      </c>
      <c r="H641" t="s">
        <v>127</v>
      </c>
      <c r="I641" t="s">
        <v>109</v>
      </c>
    </row>
    <row r="642" spans="3:9" x14ac:dyDescent="0.55000000000000004">
      <c r="C642" s="7"/>
      <c r="E642" t="s">
        <v>128</v>
      </c>
      <c r="F642">
        <v>6</v>
      </c>
      <c r="G642" t="s">
        <v>129</v>
      </c>
      <c r="H642" t="s">
        <v>130</v>
      </c>
      <c r="I642" t="s">
        <v>109</v>
      </c>
    </row>
    <row r="643" spans="3:9" x14ac:dyDescent="0.55000000000000004">
      <c r="C643" s="7"/>
      <c r="E643" t="s">
        <v>131</v>
      </c>
      <c r="F643">
        <v>7</v>
      </c>
      <c r="G643" t="s">
        <v>132</v>
      </c>
      <c r="H643" t="s">
        <v>133</v>
      </c>
      <c r="I643" t="s">
        <v>109</v>
      </c>
    </row>
    <row r="644" spans="3:9" x14ac:dyDescent="0.55000000000000004">
      <c r="C644" s="7"/>
      <c r="E644" t="s">
        <v>134</v>
      </c>
      <c r="F644">
        <v>999</v>
      </c>
      <c r="G644" t="s">
        <v>135</v>
      </c>
      <c r="H644" t="s">
        <v>136</v>
      </c>
      <c r="I644" t="s">
        <v>109</v>
      </c>
    </row>
    <row r="645" spans="3:9" x14ac:dyDescent="0.55000000000000004">
      <c r="C645" s="7"/>
      <c r="E645" t="s">
        <v>149</v>
      </c>
      <c r="F645">
        <v>0</v>
      </c>
      <c r="G645" t="s">
        <v>150</v>
      </c>
      <c r="H645" t="s">
        <v>151</v>
      </c>
      <c r="I645" t="s">
        <v>152</v>
      </c>
    </row>
    <row r="646" spans="3:9" x14ac:dyDescent="0.55000000000000004">
      <c r="C646" s="7"/>
      <c r="E646" t="s">
        <v>169</v>
      </c>
      <c r="F646">
        <v>0</v>
      </c>
      <c r="G646" t="s">
        <v>170</v>
      </c>
      <c r="H646" t="s">
        <v>171</v>
      </c>
      <c r="I646" t="s">
        <v>172</v>
      </c>
    </row>
    <row r="647" spans="3:9" x14ac:dyDescent="0.55000000000000004">
      <c r="C647" s="7"/>
      <c r="E647" t="s">
        <v>181</v>
      </c>
      <c r="F647">
        <v>0</v>
      </c>
      <c r="G647" t="s">
        <v>182</v>
      </c>
      <c r="H647" t="s">
        <v>183</v>
      </c>
      <c r="I647" t="s">
        <v>184</v>
      </c>
    </row>
    <row r="648" spans="3:9" x14ac:dyDescent="0.55000000000000004">
      <c r="C648" s="7"/>
      <c r="E648" t="s">
        <v>193</v>
      </c>
      <c r="F648">
        <v>0</v>
      </c>
      <c r="G648" t="s">
        <v>194</v>
      </c>
      <c r="H648" t="s">
        <v>195</v>
      </c>
      <c r="I648" t="s">
        <v>196</v>
      </c>
    </row>
    <row r="649" spans="3:9" x14ac:dyDescent="0.55000000000000004">
      <c r="C649" s="7"/>
      <c r="E649" t="s">
        <v>225</v>
      </c>
      <c r="F649">
        <v>0</v>
      </c>
      <c r="G649" t="s">
        <v>226</v>
      </c>
      <c r="H649" t="s">
        <v>227</v>
      </c>
      <c r="I649" t="s">
        <v>228</v>
      </c>
    </row>
    <row r="650" spans="3:9" x14ac:dyDescent="0.55000000000000004">
      <c r="C650" s="7"/>
      <c r="E650" t="s">
        <v>229</v>
      </c>
      <c r="F650">
        <v>0</v>
      </c>
      <c r="G650" t="s">
        <v>230</v>
      </c>
      <c r="H650" t="s">
        <v>231</v>
      </c>
      <c r="I650" t="s">
        <v>232</v>
      </c>
    </row>
    <row r="651" spans="3:9" x14ac:dyDescent="0.55000000000000004">
      <c r="C651" s="7"/>
      <c r="E651" t="s">
        <v>233</v>
      </c>
      <c r="F651">
        <v>0</v>
      </c>
      <c r="G651" t="s">
        <v>234</v>
      </c>
      <c r="H651" t="s">
        <v>235</v>
      </c>
      <c r="I651" t="s">
        <v>236</v>
      </c>
    </row>
    <row r="652" spans="3:9" x14ac:dyDescent="0.55000000000000004">
      <c r="C652" s="7"/>
      <c r="E652" t="s">
        <v>237</v>
      </c>
      <c r="F652">
        <v>0</v>
      </c>
      <c r="G652" t="s">
        <v>238</v>
      </c>
      <c r="H652" t="s">
        <v>239</v>
      </c>
      <c r="I652" t="s">
        <v>240</v>
      </c>
    </row>
    <row r="653" spans="3:9" x14ac:dyDescent="0.55000000000000004">
      <c r="C653" s="7"/>
      <c r="E653" t="s">
        <v>257</v>
      </c>
      <c r="F653">
        <v>0</v>
      </c>
      <c r="G653" t="s">
        <v>258</v>
      </c>
      <c r="H653" t="s">
        <v>259</v>
      </c>
      <c r="I653" t="s">
        <v>260</v>
      </c>
    </row>
    <row r="654" spans="3:9" x14ac:dyDescent="0.55000000000000004">
      <c r="C654" s="7"/>
      <c r="E654" t="s">
        <v>261</v>
      </c>
      <c r="F654">
        <v>0</v>
      </c>
      <c r="G654" t="s">
        <v>262</v>
      </c>
      <c r="H654" t="s">
        <v>263</v>
      </c>
      <c r="I654" t="s">
        <v>264</v>
      </c>
    </row>
    <row r="655" spans="3:9" x14ac:dyDescent="0.55000000000000004">
      <c r="C655" s="7"/>
      <c r="E655" t="s">
        <v>281</v>
      </c>
      <c r="F655">
        <v>0</v>
      </c>
      <c r="G655" t="s">
        <v>282</v>
      </c>
      <c r="H655" t="s">
        <v>283</v>
      </c>
      <c r="I655" t="s">
        <v>284</v>
      </c>
    </row>
    <row r="656" spans="3:9" x14ac:dyDescent="0.55000000000000004">
      <c r="C656" s="7"/>
      <c r="E656" t="s">
        <v>285</v>
      </c>
      <c r="F656">
        <v>0</v>
      </c>
      <c r="G656" t="s">
        <v>286</v>
      </c>
      <c r="H656" t="s">
        <v>287</v>
      </c>
      <c r="I656" t="s">
        <v>288</v>
      </c>
    </row>
    <row r="657" spans="3:9" x14ac:dyDescent="0.55000000000000004">
      <c r="C657" s="7"/>
      <c r="E657" t="s">
        <v>297</v>
      </c>
      <c r="F657">
        <v>0</v>
      </c>
      <c r="G657" t="s">
        <v>298</v>
      </c>
      <c r="H657" t="s">
        <v>299</v>
      </c>
      <c r="I657" t="s">
        <v>300</v>
      </c>
    </row>
    <row r="658" spans="3:9" x14ac:dyDescent="0.55000000000000004">
      <c r="C658" s="7"/>
      <c r="E658" t="s">
        <v>301</v>
      </c>
      <c r="F658">
        <v>0</v>
      </c>
      <c r="G658" t="s">
        <v>302</v>
      </c>
      <c r="H658" t="s">
        <v>303</v>
      </c>
      <c r="I658" t="s">
        <v>304</v>
      </c>
    </row>
    <row r="659" spans="3:9" x14ac:dyDescent="0.55000000000000004">
      <c r="C659" s="7"/>
      <c r="E659" t="s">
        <v>309</v>
      </c>
      <c r="F659">
        <v>0</v>
      </c>
      <c r="G659" t="s">
        <v>310</v>
      </c>
      <c r="H659" t="s">
        <v>311</v>
      </c>
      <c r="I659" t="s">
        <v>312</v>
      </c>
    </row>
    <row r="660" spans="3:9" x14ac:dyDescent="0.55000000000000004">
      <c r="C660" s="7"/>
      <c r="E660" t="s">
        <v>313</v>
      </c>
      <c r="F660">
        <v>0</v>
      </c>
      <c r="G660" t="s">
        <v>314</v>
      </c>
      <c r="H660" t="s">
        <v>315</v>
      </c>
      <c r="I660" t="s">
        <v>316</v>
      </c>
    </row>
    <row r="661" spans="3:9" x14ac:dyDescent="0.55000000000000004">
      <c r="C661" s="7"/>
      <c r="G661" t="s">
        <v>317</v>
      </c>
      <c r="I661" t="s">
        <v>318</v>
      </c>
    </row>
    <row r="662" spans="3:9" x14ac:dyDescent="0.55000000000000004">
      <c r="C662" s="7"/>
      <c r="E662" t="s">
        <v>319</v>
      </c>
      <c r="F662">
        <v>0</v>
      </c>
      <c r="G662" t="s">
        <v>320</v>
      </c>
      <c r="H662" t="s">
        <v>321</v>
      </c>
      <c r="I662" t="s">
        <v>322</v>
      </c>
    </row>
    <row r="663" spans="3:9" x14ac:dyDescent="0.55000000000000004">
      <c r="C663" s="7"/>
      <c r="E663" t="s">
        <v>335</v>
      </c>
      <c r="F663">
        <v>0</v>
      </c>
      <c r="G663" t="s">
        <v>336</v>
      </c>
      <c r="H663" t="s">
        <v>337</v>
      </c>
      <c r="I663" t="s">
        <v>338</v>
      </c>
    </row>
    <row r="664" spans="3:9" x14ac:dyDescent="0.55000000000000004">
      <c r="C664" s="7"/>
      <c r="E664" t="s">
        <v>339</v>
      </c>
      <c r="F664">
        <v>0</v>
      </c>
      <c r="G664" t="s">
        <v>340</v>
      </c>
      <c r="H664" t="s">
        <v>341</v>
      </c>
      <c r="I664" t="s">
        <v>342</v>
      </c>
    </row>
    <row r="665" spans="3:9" x14ac:dyDescent="0.55000000000000004">
      <c r="C665" s="7"/>
      <c r="E665" t="s">
        <v>363</v>
      </c>
      <c r="F665">
        <v>0</v>
      </c>
      <c r="G665" t="s">
        <v>364</v>
      </c>
      <c r="H665" t="s">
        <v>365</v>
      </c>
      <c r="I665" t="s">
        <v>366</v>
      </c>
    </row>
    <row r="666" spans="3:9" x14ac:dyDescent="0.55000000000000004">
      <c r="C666" s="7"/>
      <c r="E666" t="s">
        <v>387</v>
      </c>
      <c r="F666">
        <v>0</v>
      </c>
      <c r="G666" t="s">
        <v>388</v>
      </c>
      <c r="H666" t="s">
        <v>389</v>
      </c>
      <c r="I666" t="s">
        <v>390</v>
      </c>
    </row>
    <row r="667" spans="3:9" x14ac:dyDescent="0.55000000000000004">
      <c r="C667" s="7"/>
      <c r="E667" t="s">
        <v>391</v>
      </c>
      <c r="F667">
        <v>0</v>
      </c>
      <c r="G667" t="s">
        <v>392</v>
      </c>
      <c r="H667" t="s">
        <v>393</v>
      </c>
      <c r="I667" t="s">
        <v>394</v>
      </c>
    </row>
    <row r="668" spans="3:9" x14ac:dyDescent="0.55000000000000004">
      <c r="C668" s="7"/>
      <c r="E668" t="s">
        <v>395</v>
      </c>
      <c r="F668">
        <v>0</v>
      </c>
      <c r="G668" t="s">
        <v>396</v>
      </c>
      <c r="H668" t="s">
        <v>397</v>
      </c>
      <c r="I668" t="s">
        <v>398</v>
      </c>
    </row>
    <row r="669" spans="3:9" x14ac:dyDescent="0.55000000000000004">
      <c r="C669" s="7"/>
      <c r="E669" t="s">
        <v>403</v>
      </c>
      <c r="F669">
        <v>0</v>
      </c>
      <c r="G669" t="s">
        <v>404</v>
      </c>
      <c r="H669" t="s">
        <v>405</v>
      </c>
      <c r="I669" t="s">
        <v>406</v>
      </c>
    </row>
    <row r="670" spans="3:9" x14ac:dyDescent="0.55000000000000004">
      <c r="C670" s="7"/>
      <c r="E670" t="s">
        <v>407</v>
      </c>
      <c r="F670">
        <v>0</v>
      </c>
      <c r="G670" t="s">
        <v>408</v>
      </c>
      <c r="H670" t="s">
        <v>409</v>
      </c>
      <c r="I670" t="s">
        <v>410</v>
      </c>
    </row>
    <row r="671" spans="3:9" x14ac:dyDescent="0.55000000000000004">
      <c r="C671" s="7"/>
      <c r="E671" t="s">
        <v>431</v>
      </c>
      <c r="F671">
        <v>0</v>
      </c>
      <c r="G671" t="s">
        <v>432</v>
      </c>
      <c r="H671" t="s">
        <v>433</v>
      </c>
      <c r="I671" t="s">
        <v>434</v>
      </c>
    </row>
    <row r="672" spans="3:9" x14ac:dyDescent="0.55000000000000004">
      <c r="C672" s="7"/>
      <c r="E672" t="s">
        <v>435</v>
      </c>
      <c r="F672">
        <v>0</v>
      </c>
      <c r="G672" t="s">
        <v>436</v>
      </c>
      <c r="H672" t="s">
        <v>437</v>
      </c>
      <c r="I672" t="s">
        <v>438</v>
      </c>
    </row>
    <row r="673" spans="3:9" x14ac:dyDescent="0.55000000000000004">
      <c r="C673" s="7"/>
      <c r="E673" t="s">
        <v>447</v>
      </c>
      <c r="F673">
        <v>0</v>
      </c>
      <c r="G673" t="s">
        <v>448</v>
      </c>
      <c r="H673" t="s">
        <v>449</v>
      </c>
      <c r="I673" t="s">
        <v>450</v>
      </c>
    </row>
    <row r="674" spans="3:9" x14ac:dyDescent="0.55000000000000004">
      <c r="C674" s="7"/>
      <c r="E674" t="s">
        <v>451</v>
      </c>
      <c r="F674">
        <v>0</v>
      </c>
      <c r="G674" t="s">
        <v>452</v>
      </c>
      <c r="H674" t="s">
        <v>453</v>
      </c>
      <c r="I674" t="s">
        <v>454</v>
      </c>
    </row>
    <row r="675" spans="3:9" x14ac:dyDescent="0.55000000000000004">
      <c r="C675" s="7"/>
      <c r="E675" t="s">
        <v>455</v>
      </c>
      <c r="F675">
        <v>0</v>
      </c>
      <c r="G675" t="s">
        <v>456</v>
      </c>
      <c r="H675" t="s">
        <v>457</v>
      </c>
      <c r="I675" t="s">
        <v>458</v>
      </c>
    </row>
    <row r="676" spans="3:9" x14ac:dyDescent="0.55000000000000004">
      <c r="C676" s="7"/>
      <c r="E676" t="s">
        <v>459</v>
      </c>
      <c r="F676">
        <v>0</v>
      </c>
      <c r="G676" t="s">
        <v>460</v>
      </c>
      <c r="H676" t="s">
        <v>461</v>
      </c>
      <c r="I676" t="s">
        <v>462</v>
      </c>
    </row>
    <row r="677" spans="3:9" x14ac:dyDescent="0.55000000000000004">
      <c r="C677" s="7"/>
      <c r="E677" t="s">
        <v>484</v>
      </c>
      <c r="F677">
        <v>0</v>
      </c>
      <c r="G677" t="s">
        <v>485</v>
      </c>
      <c r="H677" t="s">
        <v>486</v>
      </c>
      <c r="I677" t="s">
        <v>483</v>
      </c>
    </row>
    <row r="678" spans="3:9" x14ac:dyDescent="0.55000000000000004">
      <c r="C678" s="7"/>
      <c r="E678" t="s">
        <v>487</v>
      </c>
      <c r="F678">
        <v>1</v>
      </c>
      <c r="G678" t="s">
        <v>488</v>
      </c>
      <c r="H678" t="s">
        <v>489</v>
      </c>
      <c r="I678" t="s">
        <v>483</v>
      </c>
    </row>
    <row r="679" spans="3:9" x14ac:dyDescent="0.55000000000000004">
      <c r="C679" s="7"/>
      <c r="E679" t="s">
        <v>490</v>
      </c>
      <c r="F679">
        <v>2</v>
      </c>
      <c r="G679" t="s">
        <v>491</v>
      </c>
      <c r="H679" t="s">
        <v>492</v>
      </c>
      <c r="I679" t="s">
        <v>483</v>
      </c>
    </row>
    <row r="680" spans="3:9" x14ac:dyDescent="0.55000000000000004">
      <c r="C680" s="7"/>
      <c r="E680" t="s">
        <v>493</v>
      </c>
      <c r="F680">
        <v>3</v>
      </c>
      <c r="G680" t="s">
        <v>494</v>
      </c>
      <c r="H680" t="s">
        <v>495</v>
      </c>
      <c r="I680" t="s">
        <v>483</v>
      </c>
    </row>
    <row r="681" spans="3:9" x14ac:dyDescent="0.55000000000000004">
      <c r="C681" s="7"/>
      <c r="E681" t="s">
        <v>496</v>
      </c>
      <c r="F681">
        <v>4</v>
      </c>
      <c r="G681" t="s">
        <v>497</v>
      </c>
      <c r="H681" t="s">
        <v>498</v>
      </c>
      <c r="I681" t="s">
        <v>483</v>
      </c>
    </row>
    <row r="682" spans="3:9" x14ac:dyDescent="0.55000000000000004">
      <c r="C682" s="7"/>
      <c r="E682" t="s">
        <v>499</v>
      </c>
      <c r="F682">
        <v>5</v>
      </c>
      <c r="G682" t="s">
        <v>500</v>
      </c>
      <c r="H682" t="s">
        <v>492</v>
      </c>
      <c r="I682" t="s">
        <v>483</v>
      </c>
    </row>
    <row r="683" spans="3:9" x14ac:dyDescent="0.55000000000000004">
      <c r="C683" s="7"/>
      <c r="E683" t="s">
        <v>501</v>
      </c>
      <c r="F683">
        <v>6</v>
      </c>
      <c r="G683" t="s">
        <v>502</v>
      </c>
      <c r="H683" t="s">
        <v>503</v>
      </c>
      <c r="I683" t="s">
        <v>483</v>
      </c>
    </row>
    <row r="684" spans="3:9" x14ac:dyDescent="0.55000000000000004">
      <c r="C684" s="7"/>
      <c r="E684" t="s">
        <v>504</v>
      </c>
      <c r="F684">
        <v>7</v>
      </c>
      <c r="G684" t="s">
        <v>505</v>
      </c>
      <c r="H684" t="s">
        <v>506</v>
      </c>
      <c r="I684" t="s">
        <v>483</v>
      </c>
    </row>
    <row r="685" spans="3:9" x14ac:dyDescent="0.55000000000000004">
      <c r="C685" s="7"/>
      <c r="E685" t="s">
        <v>507</v>
      </c>
      <c r="F685">
        <v>8</v>
      </c>
      <c r="G685" t="s">
        <v>508</v>
      </c>
      <c r="H685" t="s">
        <v>509</v>
      </c>
      <c r="I685" t="s">
        <v>483</v>
      </c>
    </row>
    <row r="686" spans="3:9" x14ac:dyDescent="0.55000000000000004">
      <c r="C686" s="7"/>
      <c r="E686" t="s">
        <v>510</v>
      </c>
      <c r="F686">
        <v>9</v>
      </c>
      <c r="G686" t="s">
        <v>511</v>
      </c>
      <c r="H686" t="s">
        <v>512</v>
      </c>
      <c r="I686" t="s">
        <v>483</v>
      </c>
    </row>
    <row r="687" spans="3:9" x14ac:dyDescent="0.55000000000000004">
      <c r="C687" s="7"/>
      <c r="E687" t="s">
        <v>513</v>
      </c>
      <c r="F687">
        <v>10</v>
      </c>
      <c r="G687" t="s">
        <v>514</v>
      </c>
      <c r="H687" t="s">
        <v>515</v>
      </c>
      <c r="I687" t="s">
        <v>483</v>
      </c>
    </row>
    <row r="688" spans="3:9" x14ac:dyDescent="0.55000000000000004">
      <c r="C688" s="7"/>
      <c r="E688" t="s">
        <v>516</v>
      </c>
      <c r="F688">
        <v>11</v>
      </c>
      <c r="G688" t="s">
        <v>517</v>
      </c>
      <c r="H688" t="s">
        <v>518</v>
      </c>
      <c r="I688" t="s">
        <v>483</v>
      </c>
    </row>
    <row r="689" spans="3:9" x14ac:dyDescent="0.55000000000000004">
      <c r="C689" s="7"/>
      <c r="E689" t="s">
        <v>519</v>
      </c>
      <c r="F689">
        <v>12</v>
      </c>
      <c r="G689" t="s">
        <v>520</v>
      </c>
      <c r="H689" t="s">
        <v>521</v>
      </c>
      <c r="I689" t="s">
        <v>483</v>
      </c>
    </row>
    <row r="690" spans="3:9" x14ac:dyDescent="0.55000000000000004">
      <c r="C690" s="7"/>
      <c r="E690" t="s">
        <v>522</v>
      </c>
      <c r="F690">
        <v>13</v>
      </c>
      <c r="G690" t="s">
        <v>523</v>
      </c>
      <c r="H690" t="s">
        <v>524</v>
      </c>
      <c r="I690" t="s">
        <v>483</v>
      </c>
    </row>
    <row r="691" spans="3:9" x14ac:dyDescent="0.55000000000000004">
      <c r="C691" s="7"/>
      <c r="E691" t="s">
        <v>525</v>
      </c>
      <c r="F691">
        <v>14</v>
      </c>
      <c r="G691" t="s">
        <v>526</v>
      </c>
      <c r="H691" t="s">
        <v>527</v>
      </c>
      <c r="I691" t="s">
        <v>483</v>
      </c>
    </row>
    <row r="692" spans="3:9" x14ac:dyDescent="0.55000000000000004">
      <c r="C692" s="7"/>
      <c r="E692" t="s">
        <v>528</v>
      </c>
      <c r="F692">
        <v>15</v>
      </c>
      <c r="G692" t="s">
        <v>529</v>
      </c>
      <c r="H692" t="s">
        <v>530</v>
      </c>
      <c r="I692" t="s">
        <v>483</v>
      </c>
    </row>
    <row r="693" spans="3:9" x14ac:dyDescent="0.55000000000000004">
      <c r="C693" s="7"/>
      <c r="E693" t="s">
        <v>531</v>
      </c>
      <c r="F693">
        <v>16</v>
      </c>
      <c r="G693" t="s">
        <v>532</v>
      </c>
      <c r="H693" t="s">
        <v>533</v>
      </c>
      <c r="I693" t="s">
        <v>483</v>
      </c>
    </row>
    <row r="694" spans="3:9" x14ac:dyDescent="0.55000000000000004">
      <c r="C694" s="7"/>
      <c r="E694" t="s">
        <v>534</v>
      </c>
      <c r="F694">
        <v>17</v>
      </c>
      <c r="G694" t="s">
        <v>535</v>
      </c>
      <c r="H694" t="s">
        <v>536</v>
      </c>
      <c r="I694" t="s">
        <v>483</v>
      </c>
    </row>
    <row r="695" spans="3:9" x14ac:dyDescent="0.55000000000000004">
      <c r="C695" s="7"/>
      <c r="E695" t="s">
        <v>537</v>
      </c>
      <c r="F695">
        <v>18</v>
      </c>
      <c r="G695" t="s">
        <v>538</v>
      </c>
      <c r="H695" t="s">
        <v>539</v>
      </c>
      <c r="I695" t="s">
        <v>483</v>
      </c>
    </row>
    <row r="696" spans="3:9" x14ac:dyDescent="0.55000000000000004">
      <c r="C696" s="7"/>
      <c r="E696" t="s">
        <v>540</v>
      </c>
      <c r="F696">
        <v>19</v>
      </c>
      <c r="G696" t="s">
        <v>541</v>
      </c>
      <c r="H696" t="s">
        <v>542</v>
      </c>
      <c r="I696" t="s">
        <v>483</v>
      </c>
    </row>
    <row r="697" spans="3:9" x14ac:dyDescent="0.55000000000000004">
      <c r="C697" s="7"/>
      <c r="E697" t="s">
        <v>543</v>
      </c>
      <c r="F697">
        <v>20</v>
      </c>
      <c r="G697" t="s">
        <v>306</v>
      </c>
      <c r="H697" t="s">
        <v>544</v>
      </c>
      <c r="I697" t="s">
        <v>483</v>
      </c>
    </row>
    <row r="698" spans="3:9" x14ac:dyDescent="0.55000000000000004">
      <c r="C698" s="7"/>
      <c r="E698" t="s">
        <v>545</v>
      </c>
      <c r="F698">
        <v>21</v>
      </c>
      <c r="G698" t="s">
        <v>546</v>
      </c>
      <c r="H698" t="s">
        <v>547</v>
      </c>
      <c r="I698" t="s">
        <v>483</v>
      </c>
    </row>
    <row r="699" spans="3:9" x14ac:dyDescent="0.55000000000000004">
      <c r="C699" s="7"/>
      <c r="E699" t="s">
        <v>548</v>
      </c>
      <c r="F699">
        <v>22</v>
      </c>
      <c r="G699" t="s">
        <v>549</v>
      </c>
      <c r="H699" t="s">
        <v>550</v>
      </c>
      <c r="I699" t="s">
        <v>483</v>
      </c>
    </row>
    <row r="700" spans="3:9" x14ac:dyDescent="0.55000000000000004">
      <c r="C700" s="7"/>
      <c r="E700" t="s">
        <v>551</v>
      </c>
      <c r="F700">
        <v>23</v>
      </c>
      <c r="G700" t="s">
        <v>552</v>
      </c>
      <c r="H700" t="s">
        <v>553</v>
      </c>
      <c r="I700" t="s">
        <v>483</v>
      </c>
    </row>
    <row r="701" spans="3:9" x14ac:dyDescent="0.55000000000000004">
      <c r="C701" s="7"/>
      <c r="E701" t="s">
        <v>554</v>
      </c>
      <c r="F701">
        <v>24</v>
      </c>
      <c r="G701" t="s">
        <v>555</v>
      </c>
      <c r="H701" t="s">
        <v>556</v>
      </c>
      <c r="I701" t="s">
        <v>483</v>
      </c>
    </row>
    <row r="702" spans="3:9" x14ac:dyDescent="0.55000000000000004">
      <c r="C702" s="7"/>
      <c r="E702" t="s">
        <v>557</v>
      </c>
      <c r="F702">
        <v>25</v>
      </c>
      <c r="G702" t="s">
        <v>558</v>
      </c>
      <c r="H702" t="s">
        <v>559</v>
      </c>
      <c r="I702" t="s">
        <v>483</v>
      </c>
    </row>
    <row r="703" spans="3:9" x14ac:dyDescent="0.55000000000000004">
      <c r="C703" s="7"/>
      <c r="E703" t="s">
        <v>560</v>
      </c>
      <c r="F703">
        <v>26</v>
      </c>
      <c r="G703" t="s">
        <v>561</v>
      </c>
      <c r="H703" t="s">
        <v>562</v>
      </c>
      <c r="I703" t="s">
        <v>483</v>
      </c>
    </row>
    <row r="704" spans="3:9" x14ac:dyDescent="0.55000000000000004">
      <c r="C704" s="7"/>
      <c r="E704" t="s">
        <v>563</v>
      </c>
      <c r="F704">
        <v>27</v>
      </c>
      <c r="G704" t="s">
        <v>564</v>
      </c>
      <c r="H704" t="s">
        <v>565</v>
      </c>
      <c r="I704" t="s">
        <v>483</v>
      </c>
    </row>
    <row r="705" spans="3:9" x14ac:dyDescent="0.55000000000000004">
      <c r="C705" s="7"/>
      <c r="E705" t="s">
        <v>566</v>
      </c>
      <c r="F705">
        <v>28</v>
      </c>
      <c r="G705" t="s">
        <v>567</v>
      </c>
      <c r="H705" t="s">
        <v>568</v>
      </c>
      <c r="I705" t="s">
        <v>483</v>
      </c>
    </row>
    <row r="706" spans="3:9" x14ac:dyDescent="0.55000000000000004">
      <c r="C706" s="7"/>
      <c r="E706" t="s">
        <v>569</v>
      </c>
      <c r="F706">
        <v>29</v>
      </c>
      <c r="G706" t="s">
        <v>570</v>
      </c>
      <c r="H706" t="s">
        <v>571</v>
      </c>
      <c r="I706" t="s">
        <v>483</v>
      </c>
    </row>
    <row r="707" spans="3:9" x14ac:dyDescent="0.55000000000000004">
      <c r="C707" s="7"/>
      <c r="E707" t="s">
        <v>572</v>
      </c>
      <c r="F707">
        <v>30</v>
      </c>
      <c r="G707" t="s">
        <v>573</v>
      </c>
      <c r="H707" t="s">
        <v>574</v>
      </c>
      <c r="I707" t="s">
        <v>483</v>
      </c>
    </row>
    <row r="708" spans="3:9" x14ac:dyDescent="0.55000000000000004">
      <c r="C708" s="7"/>
      <c r="E708" t="s">
        <v>575</v>
      </c>
      <c r="F708">
        <v>31</v>
      </c>
      <c r="G708" t="s">
        <v>576</v>
      </c>
      <c r="H708" t="s">
        <v>577</v>
      </c>
      <c r="I708" t="s">
        <v>483</v>
      </c>
    </row>
    <row r="709" spans="3:9" x14ac:dyDescent="0.55000000000000004">
      <c r="C709" s="7"/>
      <c r="E709" t="s">
        <v>578</v>
      </c>
      <c r="F709">
        <v>33</v>
      </c>
      <c r="G709" t="s">
        <v>579</v>
      </c>
      <c r="H709" t="s">
        <v>580</v>
      </c>
      <c r="I709" t="s">
        <v>483</v>
      </c>
    </row>
    <row r="710" spans="3:9" x14ac:dyDescent="0.55000000000000004">
      <c r="C710" s="7"/>
      <c r="E710" t="s">
        <v>581</v>
      </c>
      <c r="F710">
        <v>34</v>
      </c>
      <c r="G710" t="s">
        <v>582</v>
      </c>
      <c r="H710" t="s">
        <v>583</v>
      </c>
      <c r="I710" t="s">
        <v>483</v>
      </c>
    </row>
    <row r="711" spans="3:9" x14ac:dyDescent="0.55000000000000004">
      <c r="C711" s="7"/>
      <c r="E711" t="s">
        <v>584</v>
      </c>
      <c r="F711">
        <v>35</v>
      </c>
      <c r="G711" t="s">
        <v>585</v>
      </c>
      <c r="H711" t="s">
        <v>586</v>
      </c>
      <c r="I711" t="s">
        <v>483</v>
      </c>
    </row>
    <row r="712" spans="3:9" x14ac:dyDescent="0.55000000000000004">
      <c r="C712" s="7"/>
      <c r="E712" t="s">
        <v>587</v>
      </c>
      <c r="F712">
        <v>36</v>
      </c>
      <c r="G712" t="s">
        <v>588</v>
      </c>
      <c r="H712" t="s">
        <v>589</v>
      </c>
      <c r="I712" t="s">
        <v>483</v>
      </c>
    </row>
    <row r="713" spans="3:9" x14ac:dyDescent="0.55000000000000004">
      <c r="C713" s="7"/>
      <c r="E713" t="s">
        <v>590</v>
      </c>
      <c r="F713">
        <v>37</v>
      </c>
      <c r="G713" t="s">
        <v>591</v>
      </c>
      <c r="H713" t="s">
        <v>592</v>
      </c>
      <c r="I713" t="s">
        <v>483</v>
      </c>
    </row>
    <row r="714" spans="3:9" x14ac:dyDescent="0.55000000000000004">
      <c r="C714" s="7"/>
      <c r="E714" t="s">
        <v>593</v>
      </c>
      <c r="F714">
        <v>38</v>
      </c>
      <c r="G714" t="s">
        <v>594</v>
      </c>
      <c r="H714" t="s">
        <v>595</v>
      </c>
      <c r="I714" t="s">
        <v>483</v>
      </c>
    </row>
    <row r="715" spans="3:9" x14ac:dyDescent="0.55000000000000004">
      <c r="C715" s="7"/>
      <c r="E715" t="s">
        <v>596</v>
      </c>
      <c r="F715">
        <v>39</v>
      </c>
      <c r="G715" t="s">
        <v>597</v>
      </c>
      <c r="H715" t="s">
        <v>595</v>
      </c>
      <c r="I715" t="s">
        <v>483</v>
      </c>
    </row>
    <row r="716" spans="3:9" x14ac:dyDescent="0.55000000000000004">
      <c r="C716" s="7"/>
      <c r="E716" t="s">
        <v>598</v>
      </c>
      <c r="F716">
        <v>40</v>
      </c>
      <c r="G716" t="s">
        <v>599</v>
      </c>
      <c r="H716" t="s">
        <v>600</v>
      </c>
      <c r="I716" t="s">
        <v>483</v>
      </c>
    </row>
    <row r="717" spans="3:9" x14ac:dyDescent="0.55000000000000004">
      <c r="C717" s="7"/>
      <c r="E717" t="s">
        <v>601</v>
      </c>
      <c r="F717">
        <v>50</v>
      </c>
      <c r="G717" t="s">
        <v>602</v>
      </c>
      <c r="H717" t="s">
        <v>603</v>
      </c>
      <c r="I717" t="s">
        <v>483</v>
      </c>
    </row>
    <row r="718" spans="3:9" x14ac:dyDescent="0.55000000000000004">
      <c r="C718" s="7"/>
      <c r="E718" t="s">
        <v>604</v>
      </c>
      <c r="F718">
        <v>51</v>
      </c>
      <c r="G718" t="s">
        <v>605</v>
      </c>
      <c r="H718" t="s">
        <v>606</v>
      </c>
      <c r="I718" t="s">
        <v>483</v>
      </c>
    </row>
    <row r="719" spans="3:9" x14ac:dyDescent="0.55000000000000004">
      <c r="C719" s="7"/>
      <c r="E719" t="s">
        <v>607</v>
      </c>
      <c r="F719">
        <v>52</v>
      </c>
      <c r="G719" t="s">
        <v>608</v>
      </c>
      <c r="H719" t="s">
        <v>609</v>
      </c>
      <c r="I719" t="s">
        <v>483</v>
      </c>
    </row>
    <row r="720" spans="3:9" x14ac:dyDescent="0.55000000000000004">
      <c r="C720" s="7"/>
      <c r="E720" t="s">
        <v>610</v>
      </c>
      <c r="F720">
        <v>53</v>
      </c>
      <c r="G720" t="s">
        <v>611</v>
      </c>
      <c r="H720" t="s">
        <v>612</v>
      </c>
      <c r="I720" t="s">
        <v>483</v>
      </c>
    </row>
    <row r="721" spans="3:9" x14ac:dyDescent="0.55000000000000004">
      <c r="C721" s="7"/>
      <c r="E721" t="s">
        <v>613</v>
      </c>
      <c r="F721">
        <v>54</v>
      </c>
      <c r="G721" t="s">
        <v>614</v>
      </c>
      <c r="H721" t="s">
        <v>612</v>
      </c>
      <c r="I721" t="s">
        <v>483</v>
      </c>
    </row>
    <row r="722" spans="3:9" x14ac:dyDescent="0.55000000000000004">
      <c r="C722" s="7"/>
      <c r="E722" t="s">
        <v>615</v>
      </c>
      <c r="F722">
        <v>55</v>
      </c>
      <c r="G722" t="s">
        <v>616</v>
      </c>
      <c r="H722" t="s">
        <v>617</v>
      </c>
      <c r="I722" t="s">
        <v>483</v>
      </c>
    </row>
    <row r="723" spans="3:9" x14ac:dyDescent="0.55000000000000004">
      <c r="C723" s="7"/>
      <c r="E723" t="s">
        <v>618</v>
      </c>
      <c r="F723">
        <v>56</v>
      </c>
      <c r="G723" t="s">
        <v>619</v>
      </c>
      <c r="H723" t="s">
        <v>620</v>
      </c>
      <c r="I723" t="s">
        <v>483</v>
      </c>
    </row>
    <row r="724" spans="3:9" x14ac:dyDescent="0.55000000000000004">
      <c r="C724" s="7"/>
      <c r="E724" t="s">
        <v>621</v>
      </c>
      <c r="F724">
        <v>57</v>
      </c>
      <c r="G724" t="s">
        <v>622</v>
      </c>
      <c r="H724" t="s">
        <v>623</v>
      </c>
      <c r="I724" t="s">
        <v>483</v>
      </c>
    </row>
    <row r="725" spans="3:9" x14ac:dyDescent="0.55000000000000004">
      <c r="C725" s="7"/>
      <c r="E725" t="s">
        <v>624</v>
      </c>
      <c r="F725">
        <v>58</v>
      </c>
      <c r="G725" t="s">
        <v>625</v>
      </c>
      <c r="H725" t="s">
        <v>626</v>
      </c>
      <c r="I725" t="s">
        <v>483</v>
      </c>
    </row>
    <row r="726" spans="3:9" x14ac:dyDescent="0.55000000000000004">
      <c r="C726" s="7"/>
      <c r="E726" t="s">
        <v>627</v>
      </c>
      <c r="F726">
        <v>59</v>
      </c>
      <c r="G726" t="s">
        <v>628</v>
      </c>
      <c r="H726" t="s">
        <v>629</v>
      </c>
      <c r="I726" t="s">
        <v>483</v>
      </c>
    </row>
    <row r="727" spans="3:9" x14ac:dyDescent="0.55000000000000004">
      <c r="C727" s="7"/>
      <c r="E727" t="s">
        <v>630</v>
      </c>
      <c r="F727">
        <v>60</v>
      </c>
      <c r="G727" t="s">
        <v>631</v>
      </c>
      <c r="H727" t="s">
        <v>632</v>
      </c>
      <c r="I727" t="s">
        <v>483</v>
      </c>
    </row>
    <row r="728" spans="3:9" x14ac:dyDescent="0.55000000000000004">
      <c r="C728" s="7"/>
      <c r="E728" t="s">
        <v>633</v>
      </c>
      <c r="F728">
        <v>61</v>
      </c>
      <c r="G728" t="s">
        <v>634</v>
      </c>
      <c r="H728" t="s">
        <v>635</v>
      </c>
      <c r="I728" t="s">
        <v>483</v>
      </c>
    </row>
    <row r="729" spans="3:9" x14ac:dyDescent="0.55000000000000004">
      <c r="C729" s="7"/>
      <c r="E729" t="s">
        <v>636</v>
      </c>
      <c r="F729">
        <v>62</v>
      </c>
      <c r="G729" t="s">
        <v>637</v>
      </c>
      <c r="H729" t="s">
        <v>638</v>
      </c>
      <c r="I729" t="s">
        <v>483</v>
      </c>
    </row>
    <row r="730" spans="3:9" x14ac:dyDescent="0.55000000000000004">
      <c r="C730" s="7"/>
      <c r="E730" t="s">
        <v>639</v>
      </c>
      <c r="F730">
        <v>63</v>
      </c>
      <c r="G730" t="s">
        <v>640</v>
      </c>
      <c r="H730" t="s">
        <v>641</v>
      </c>
      <c r="I730" t="s">
        <v>483</v>
      </c>
    </row>
    <row r="731" spans="3:9" x14ac:dyDescent="0.55000000000000004">
      <c r="C731" s="7"/>
      <c r="E731" t="s">
        <v>642</v>
      </c>
      <c r="F731">
        <v>64</v>
      </c>
      <c r="G731" t="s">
        <v>643</v>
      </c>
      <c r="H731" t="s">
        <v>644</v>
      </c>
      <c r="I731" t="s">
        <v>483</v>
      </c>
    </row>
    <row r="732" spans="3:9" x14ac:dyDescent="0.55000000000000004">
      <c r="C732" s="7"/>
      <c r="E732" t="s">
        <v>645</v>
      </c>
      <c r="F732">
        <v>65</v>
      </c>
      <c r="G732" t="s">
        <v>646</v>
      </c>
      <c r="H732" t="s">
        <v>647</v>
      </c>
      <c r="I732" t="s">
        <v>483</v>
      </c>
    </row>
    <row r="733" spans="3:9" x14ac:dyDescent="0.55000000000000004">
      <c r="C733" s="7"/>
      <c r="E733" t="s">
        <v>648</v>
      </c>
      <c r="F733">
        <v>66</v>
      </c>
      <c r="G733" t="s">
        <v>649</v>
      </c>
      <c r="H733" t="s">
        <v>650</v>
      </c>
      <c r="I733" t="s">
        <v>483</v>
      </c>
    </row>
    <row r="734" spans="3:9" x14ac:dyDescent="0.55000000000000004">
      <c r="C734" s="7"/>
      <c r="E734" t="s">
        <v>651</v>
      </c>
      <c r="F734">
        <v>67</v>
      </c>
      <c r="G734" t="s">
        <v>652</v>
      </c>
      <c r="H734" t="s">
        <v>653</v>
      </c>
      <c r="I734" t="s">
        <v>483</v>
      </c>
    </row>
    <row r="735" spans="3:9" x14ac:dyDescent="0.55000000000000004">
      <c r="C735" s="7"/>
      <c r="E735" t="s">
        <v>654</v>
      </c>
      <c r="F735">
        <v>68</v>
      </c>
      <c r="G735" t="s">
        <v>655</v>
      </c>
      <c r="H735" t="s">
        <v>656</v>
      </c>
      <c r="I735" t="s">
        <v>483</v>
      </c>
    </row>
    <row r="736" spans="3:9" x14ac:dyDescent="0.55000000000000004">
      <c r="C736" s="7"/>
      <c r="E736" t="s">
        <v>657</v>
      </c>
      <c r="F736">
        <v>69</v>
      </c>
      <c r="G736" t="s">
        <v>658</v>
      </c>
      <c r="H736" t="s">
        <v>659</v>
      </c>
      <c r="I736" t="s">
        <v>483</v>
      </c>
    </row>
    <row r="737" spans="3:9" x14ac:dyDescent="0.55000000000000004">
      <c r="C737" s="7"/>
      <c r="E737" t="s">
        <v>660</v>
      </c>
      <c r="F737">
        <v>70</v>
      </c>
      <c r="G737" t="s">
        <v>661</v>
      </c>
      <c r="H737" t="s">
        <v>662</v>
      </c>
      <c r="I737" t="s">
        <v>483</v>
      </c>
    </row>
    <row r="738" spans="3:9" x14ac:dyDescent="0.55000000000000004">
      <c r="C738" s="7"/>
      <c r="E738" t="s">
        <v>663</v>
      </c>
      <c r="F738">
        <v>71</v>
      </c>
      <c r="G738" t="s">
        <v>664</v>
      </c>
      <c r="H738" t="s">
        <v>665</v>
      </c>
      <c r="I738" t="s">
        <v>483</v>
      </c>
    </row>
    <row r="739" spans="3:9" x14ac:dyDescent="0.55000000000000004">
      <c r="C739" s="7"/>
      <c r="E739" t="s">
        <v>666</v>
      </c>
      <c r="F739">
        <v>72</v>
      </c>
      <c r="G739" t="s">
        <v>667</v>
      </c>
      <c r="H739" t="s">
        <v>668</v>
      </c>
      <c r="I739" t="s">
        <v>483</v>
      </c>
    </row>
    <row r="740" spans="3:9" x14ac:dyDescent="0.55000000000000004">
      <c r="C740" s="7"/>
      <c r="E740" t="s">
        <v>669</v>
      </c>
      <c r="F740">
        <v>73</v>
      </c>
      <c r="G740" t="s">
        <v>670</v>
      </c>
      <c r="H740" t="s">
        <v>671</v>
      </c>
      <c r="I740" t="s">
        <v>483</v>
      </c>
    </row>
    <row r="741" spans="3:9" x14ac:dyDescent="0.55000000000000004">
      <c r="C741" s="7"/>
      <c r="E741" t="s">
        <v>672</v>
      </c>
      <c r="F741">
        <v>74</v>
      </c>
      <c r="G741" t="s">
        <v>673</v>
      </c>
      <c r="H741" t="s">
        <v>674</v>
      </c>
      <c r="I741" t="s">
        <v>483</v>
      </c>
    </row>
    <row r="742" spans="3:9" x14ac:dyDescent="0.55000000000000004">
      <c r="C742" s="7"/>
      <c r="E742" t="s">
        <v>675</v>
      </c>
      <c r="F742">
        <v>75</v>
      </c>
      <c r="G742" t="s">
        <v>676</v>
      </c>
      <c r="H742" t="s">
        <v>677</v>
      </c>
      <c r="I742" t="s">
        <v>483</v>
      </c>
    </row>
    <row r="743" spans="3:9" x14ac:dyDescent="0.55000000000000004">
      <c r="C743" s="7"/>
      <c r="E743" t="s">
        <v>678</v>
      </c>
      <c r="F743">
        <v>76</v>
      </c>
      <c r="G743" t="s">
        <v>679</v>
      </c>
      <c r="H743" t="s">
        <v>680</v>
      </c>
      <c r="I743" t="s">
        <v>483</v>
      </c>
    </row>
    <row r="744" spans="3:9" x14ac:dyDescent="0.55000000000000004">
      <c r="C744" s="7"/>
      <c r="E744" t="s">
        <v>681</v>
      </c>
      <c r="F744">
        <v>77</v>
      </c>
      <c r="G744" t="s">
        <v>682</v>
      </c>
      <c r="H744" t="s">
        <v>683</v>
      </c>
      <c r="I744" t="s">
        <v>483</v>
      </c>
    </row>
    <row r="745" spans="3:9" x14ac:dyDescent="0.55000000000000004">
      <c r="C745" s="7"/>
      <c r="E745" t="s">
        <v>684</v>
      </c>
      <c r="F745">
        <v>78</v>
      </c>
      <c r="G745" t="s">
        <v>685</v>
      </c>
      <c r="H745" t="s">
        <v>686</v>
      </c>
      <c r="I745" t="s">
        <v>483</v>
      </c>
    </row>
    <row r="746" spans="3:9" x14ac:dyDescent="0.55000000000000004">
      <c r="C746" s="7"/>
      <c r="E746" t="s">
        <v>687</v>
      </c>
      <c r="F746">
        <v>79</v>
      </c>
      <c r="G746" t="s">
        <v>688</v>
      </c>
      <c r="H746" t="s">
        <v>683</v>
      </c>
      <c r="I746" t="s">
        <v>483</v>
      </c>
    </row>
    <row r="747" spans="3:9" x14ac:dyDescent="0.55000000000000004">
      <c r="C747" s="7"/>
      <c r="E747" t="s">
        <v>689</v>
      </c>
      <c r="F747">
        <v>80</v>
      </c>
      <c r="G747" t="s">
        <v>690</v>
      </c>
      <c r="H747" t="s">
        <v>683</v>
      </c>
      <c r="I747" t="s">
        <v>483</v>
      </c>
    </row>
    <row r="748" spans="3:9" x14ac:dyDescent="0.55000000000000004">
      <c r="C748" s="7"/>
      <c r="E748" t="s">
        <v>691</v>
      </c>
      <c r="F748">
        <v>81</v>
      </c>
      <c r="G748" t="s">
        <v>692</v>
      </c>
      <c r="H748" t="s">
        <v>683</v>
      </c>
      <c r="I748" t="s">
        <v>483</v>
      </c>
    </row>
    <row r="749" spans="3:9" x14ac:dyDescent="0.55000000000000004">
      <c r="C749" s="7"/>
      <c r="E749" t="s">
        <v>693</v>
      </c>
      <c r="F749">
        <v>82</v>
      </c>
      <c r="G749" t="s">
        <v>694</v>
      </c>
      <c r="H749" t="s">
        <v>695</v>
      </c>
      <c r="I749" t="s">
        <v>483</v>
      </c>
    </row>
    <row r="750" spans="3:9" x14ac:dyDescent="0.55000000000000004">
      <c r="C750" s="7"/>
      <c r="E750" t="s">
        <v>696</v>
      </c>
      <c r="F750">
        <v>83</v>
      </c>
      <c r="G750" t="s">
        <v>697</v>
      </c>
      <c r="H750" t="s">
        <v>698</v>
      </c>
      <c r="I750" t="s">
        <v>483</v>
      </c>
    </row>
    <row r="751" spans="3:9" x14ac:dyDescent="0.55000000000000004">
      <c r="C751" s="7"/>
      <c r="E751" t="s">
        <v>699</v>
      </c>
      <c r="F751">
        <v>84</v>
      </c>
      <c r="G751" t="s">
        <v>700</v>
      </c>
      <c r="H751" t="s">
        <v>701</v>
      </c>
      <c r="I751" t="s">
        <v>483</v>
      </c>
    </row>
    <row r="752" spans="3:9" x14ac:dyDescent="0.55000000000000004">
      <c r="C752" s="7"/>
      <c r="E752" t="s">
        <v>702</v>
      </c>
      <c r="F752">
        <v>85</v>
      </c>
      <c r="G752" t="s">
        <v>703</v>
      </c>
      <c r="H752" t="s">
        <v>704</v>
      </c>
      <c r="I752" t="s">
        <v>483</v>
      </c>
    </row>
    <row r="753" spans="3:9" x14ac:dyDescent="0.55000000000000004">
      <c r="C753" s="7"/>
      <c r="E753" t="s">
        <v>705</v>
      </c>
      <c r="F753">
        <v>86</v>
      </c>
      <c r="G753" t="s">
        <v>706</v>
      </c>
      <c r="H753" t="s">
        <v>707</v>
      </c>
      <c r="I753" t="s">
        <v>483</v>
      </c>
    </row>
    <row r="754" spans="3:9" x14ac:dyDescent="0.55000000000000004">
      <c r="C754" s="7"/>
      <c r="E754" t="s">
        <v>708</v>
      </c>
      <c r="F754">
        <v>87</v>
      </c>
      <c r="G754" t="s">
        <v>709</v>
      </c>
      <c r="H754" t="s">
        <v>710</v>
      </c>
      <c r="I754" t="s">
        <v>483</v>
      </c>
    </row>
    <row r="755" spans="3:9" x14ac:dyDescent="0.55000000000000004">
      <c r="C755" s="7"/>
      <c r="E755" t="s">
        <v>711</v>
      </c>
      <c r="F755">
        <v>88</v>
      </c>
      <c r="G755" t="s">
        <v>712</v>
      </c>
      <c r="H755" t="s">
        <v>713</v>
      </c>
      <c r="I755" t="s">
        <v>483</v>
      </c>
    </row>
    <row r="756" spans="3:9" x14ac:dyDescent="0.55000000000000004">
      <c r="C756" s="7"/>
      <c r="E756" t="s">
        <v>714</v>
      </c>
      <c r="F756">
        <v>89</v>
      </c>
      <c r="G756" t="s">
        <v>715</v>
      </c>
      <c r="H756" t="s">
        <v>716</v>
      </c>
      <c r="I756" t="s">
        <v>483</v>
      </c>
    </row>
    <row r="757" spans="3:9" x14ac:dyDescent="0.55000000000000004">
      <c r="C757" s="7"/>
      <c r="E757" t="s">
        <v>717</v>
      </c>
      <c r="F757">
        <v>90</v>
      </c>
      <c r="G757" t="s">
        <v>718</v>
      </c>
      <c r="H757" t="s">
        <v>719</v>
      </c>
      <c r="I757" t="s">
        <v>483</v>
      </c>
    </row>
    <row r="758" spans="3:9" x14ac:dyDescent="0.55000000000000004">
      <c r="C758" s="7"/>
      <c r="E758" t="s">
        <v>720</v>
      </c>
      <c r="F758">
        <v>91</v>
      </c>
      <c r="G758" t="s">
        <v>721</v>
      </c>
      <c r="H758" t="s">
        <v>722</v>
      </c>
      <c r="I758" t="s">
        <v>483</v>
      </c>
    </row>
    <row r="759" spans="3:9" x14ac:dyDescent="0.55000000000000004">
      <c r="C759" s="7"/>
      <c r="E759" t="s">
        <v>723</v>
      </c>
      <c r="F759">
        <v>92</v>
      </c>
      <c r="G759" t="s">
        <v>724</v>
      </c>
      <c r="H759" t="s">
        <v>725</v>
      </c>
      <c r="I759" t="s">
        <v>483</v>
      </c>
    </row>
    <row r="760" spans="3:9" x14ac:dyDescent="0.55000000000000004">
      <c r="C760" s="7"/>
      <c r="E760" t="s">
        <v>726</v>
      </c>
      <c r="F760">
        <v>93</v>
      </c>
      <c r="G760" t="s">
        <v>727</v>
      </c>
      <c r="H760" t="s">
        <v>683</v>
      </c>
      <c r="I760" t="s">
        <v>483</v>
      </c>
    </row>
    <row r="761" spans="3:9" x14ac:dyDescent="0.55000000000000004">
      <c r="C761" s="7"/>
      <c r="E761" t="s">
        <v>728</v>
      </c>
      <c r="F761">
        <v>94</v>
      </c>
      <c r="G761" t="s">
        <v>729</v>
      </c>
      <c r="H761" t="s">
        <v>730</v>
      </c>
      <c r="I761" t="s">
        <v>483</v>
      </c>
    </row>
    <row r="762" spans="3:9" x14ac:dyDescent="0.55000000000000004">
      <c r="C762" s="7"/>
      <c r="E762" t="s">
        <v>731</v>
      </c>
      <c r="F762">
        <v>95</v>
      </c>
      <c r="G762" t="s">
        <v>732</v>
      </c>
      <c r="H762" t="s">
        <v>733</v>
      </c>
      <c r="I762" t="s">
        <v>483</v>
      </c>
    </row>
    <row r="763" spans="3:9" x14ac:dyDescent="0.55000000000000004">
      <c r="C763" s="7"/>
      <c r="E763" t="s">
        <v>734</v>
      </c>
      <c r="F763">
        <v>96</v>
      </c>
      <c r="G763" t="s">
        <v>735</v>
      </c>
      <c r="H763" t="s">
        <v>736</v>
      </c>
      <c r="I763" t="s">
        <v>483</v>
      </c>
    </row>
    <row r="764" spans="3:9" x14ac:dyDescent="0.55000000000000004">
      <c r="C764" s="7"/>
      <c r="E764" t="s">
        <v>737</v>
      </c>
      <c r="F764">
        <v>97</v>
      </c>
      <c r="G764" t="s">
        <v>738</v>
      </c>
      <c r="H764" t="s">
        <v>739</v>
      </c>
      <c r="I764" t="s">
        <v>483</v>
      </c>
    </row>
    <row r="765" spans="3:9" x14ac:dyDescent="0.55000000000000004">
      <c r="C765" s="7"/>
      <c r="E765" t="s">
        <v>740</v>
      </c>
      <c r="F765">
        <v>98</v>
      </c>
      <c r="G765" t="s">
        <v>741</v>
      </c>
      <c r="H765" t="s">
        <v>742</v>
      </c>
      <c r="I765" t="s">
        <v>483</v>
      </c>
    </row>
    <row r="766" spans="3:9" x14ac:dyDescent="0.55000000000000004">
      <c r="C766" s="7"/>
      <c r="E766" t="s">
        <v>743</v>
      </c>
      <c r="F766">
        <v>99</v>
      </c>
      <c r="G766" t="s">
        <v>744</v>
      </c>
      <c r="H766" t="s">
        <v>745</v>
      </c>
      <c r="I766" t="s">
        <v>483</v>
      </c>
    </row>
    <row r="767" spans="3:9" x14ac:dyDescent="0.55000000000000004">
      <c r="C767" s="7"/>
      <c r="E767" t="s">
        <v>746</v>
      </c>
      <c r="F767">
        <v>100</v>
      </c>
      <c r="G767" t="s">
        <v>747</v>
      </c>
      <c r="H767" t="s">
        <v>748</v>
      </c>
      <c r="I767" t="s">
        <v>483</v>
      </c>
    </row>
    <row r="768" spans="3:9" x14ac:dyDescent="0.55000000000000004">
      <c r="C768" s="7"/>
      <c r="E768" t="s">
        <v>749</v>
      </c>
      <c r="F768">
        <v>101</v>
      </c>
      <c r="G768" t="s">
        <v>750</v>
      </c>
      <c r="H768" t="s">
        <v>751</v>
      </c>
      <c r="I768" t="s">
        <v>483</v>
      </c>
    </row>
    <row r="769" spans="3:9" x14ac:dyDescent="0.55000000000000004">
      <c r="C769" s="7"/>
      <c r="E769" t="s">
        <v>752</v>
      </c>
      <c r="F769">
        <v>102</v>
      </c>
      <c r="G769" t="s">
        <v>753</v>
      </c>
      <c r="H769" t="s">
        <v>754</v>
      </c>
      <c r="I769" t="s">
        <v>483</v>
      </c>
    </row>
    <row r="770" spans="3:9" x14ac:dyDescent="0.55000000000000004">
      <c r="C770" s="7"/>
      <c r="E770" t="s">
        <v>755</v>
      </c>
      <c r="F770">
        <v>103</v>
      </c>
      <c r="G770" t="s">
        <v>756</v>
      </c>
      <c r="H770" t="s">
        <v>757</v>
      </c>
      <c r="I770" t="s">
        <v>483</v>
      </c>
    </row>
    <row r="771" spans="3:9" x14ac:dyDescent="0.55000000000000004">
      <c r="C771" s="7"/>
      <c r="E771" t="s">
        <v>758</v>
      </c>
      <c r="F771">
        <v>104</v>
      </c>
      <c r="G771" t="s">
        <v>759</v>
      </c>
      <c r="H771" t="s">
        <v>760</v>
      </c>
      <c r="I771" t="s">
        <v>483</v>
      </c>
    </row>
    <row r="772" spans="3:9" x14ac:dyDescent="0.55000000000000004">
      <c r="C772" s="7"/>
      <c r="E772" t="s">
        <v>761</v>
      </c>
      <c r="F772">
        <v>105</v>
      </c>
      <c r="G772" t="s">
        <v>762</v>
      </c>
      <c r="H772" t="s">
        <v>763</v>
      </c>
      <c r="I772" t="s">
        <v>483</v>
      </c>
    </row>
    <row r="773" spans="3:9" x14ac:dyDescent="0.55000000000000004">
      <c r="C773" s="7"/>
      <c r="E773" t="s">
        <v>764</v>
      </c>
      <c r="F773">
        <v>106</v>
      </c>
      <c r="G773" t="s">
        <v>765</v>
      </c>
      <c r="H773" t="s">
        <v>766</v>
      </c>
      <c r="I773" t="s">
        <v>483</v>
      </c>
    </row>
    <row r="774" spans="3:9" x14ac:dyDescent="0.55000000000000004">
      <c r="C774" s="7"/>
      <c r="E774" t="s">
        <v>767</v>
      </c>
      <c r="F774">
        <v>107</v>
      </c>
      <c r="G774" t="s">
        <v>768</v>
      </c>
      <c r="H774" t="s">
        <v>769</v>
      </c>
      <c r="I774" t="s">
        <v>483</v>
      </c>
    </row>
    <row r="775" spans="3:9" x14ac:dyDescent="0.55000000000000004">
      <c r="C775" s="7"/>
      <c r="E775" t="s">
        <v>770</v>
      </c>
      <c r="F775">
        <v>108</v>
      </c>
      <c r="G775" t="s">
        <v>771</v>
      </c>
      <c r="H775" t="s">
        <v>772</v>
      </c>
      <c r="I775" t="s">
        <v>483</v>
      </c>
    </row>
    <row r="776" spans="3:9" x14ac:dyDescent="0.55000000000000004">
      <c r="C776" s="7"/>
      <c r="E776" t="s">
        <v>773</v>
      </c>
      <c r="F776">
        <v>109</v>
      </c>
      <c r="G776" t="s">
        <v>774</v>
      </c>
      <c r="H776" t="s">
        <v>775</v>
      </c>
      <c r="I776" t="s">
        <v>483</v>
      </c>
    </row>
    <row r="777" spans="3:9" x14ac:dyDescent="0.55000000000000004">
      <c r="C777" s="7"/>
      <c r="E777" t="s">
        <v>776</v>
      </c>
      <c r="F777">
        <v>110</v>
      </c>
      <c r="G777" t="s">
        <v>777</v>
      </c>
      <c r="H777" t="s">
        <v>778</v>
      </c>
      <c r="I777" t="s">
        <v>483</v>
      </c>
    </row>
    <row r="778" spans="3:9" x14ac:dyDescent="0.55000000000000004">
      <c r="C778" s="7"/>
      <c r="E778" t="s">
        <v>779</v>
      </c>
      <c r="F778">
        <v>111</v>
      </c>
      <c r="G778" t="s">
        <v>780</v>
      </c>
      <c r="H778" t="s">
        <v>781</v>
      </c>
      <c r="I778" t="s">
        <v>483</v>
      </c>
    </row>
    <row r="779" spans="3:9" x14ac:dyDescent="0.55000000000000004">
      <c r="C779" s="7"/>
      <c r="E779" t="s">
        <v>782</v>
      </c>
      <c r="F779">
        <v>112</v>
      </c>
      <c r="G779" t="s">
        <v>783</v>
      </c>
      <c r="H779" t="s">
        <v>784</v>
      </c>
      <c r="I779" t="s">
        <v>483</v>
      </c>
    </row>
    <row r="780" spans="3:9" x14ac:dyDescent="0.55000000000000004">
      <c r="C780" s="7"/>
      <c r="E780" t="s">
        <v>785</v>
      </c>
      <c r="F780">
        <v>113</v>
      </c>
      <c r="G780" t="s">
        <v>786</v>
      </c>
      <c r="H780" t="s">
        <v>787</v>
      </c>
      <c r="I780" t="s">
        <v>483</v>
      </c>
    </row>
    <row r="781" spans="3:9" x14ac:dyDescent="0.55000000000000004">
      <c r="C781" s="7"/>
      <c r="E781" t="s">
        <v>788</v>
      </c>
      <c r="F781">
        <v>114</v>
      </c>
      <c r="G781" t="s">
        <v>789</v>
      </c>
      <c r="H781" t="s">
        <v>506</v>
      </c>
      <c r="I781" t="s">
        <v>483</v>
      </c>
    </row>
    <row r="782" spans="3:9" x14ac:dyDescent="0.55000000000000004">
      <c r="C782" s="7"/>
      <c r="E782" t="s">
        <v>790</v>
      </c>
      <c r="F782">
        <v>115</v>
      </c>
      <c r="G782" t="s">
        <v>791</v>
      </c>
      <c r="H782" t="s">
        <v>792</v>
      </c>
      <c r="I782" t="s">
        <v>483</v>
      </c>
    </row>
    <row r="783" spans="3:9" x14ac:dyDescent="0.55000000000000004">
      <c r="C783" s="7"/>
      <c r="E783" t="s">
        <v>793</v>
      </c>
      <c r="F783">
        <v>116</v>
      </c>
      <c r="G783" t="s">
        <v>794</v>
      </c>
      <c r="H783" t="s">
        <v>795</v>
      </c>
      <c r="I783" t="s">
        <v>483</v>
      </c>
    </row>
    <row r="784" spans="3:9" x14ac:dyDescent="0.55000000000000004">
      <c r="C784" s="7"/>
      <c r="E784" t="s">
        <v>796</v>
      </c>
      <c r="F784">
        <v>117</v>
      </c>
      <c r="G784" t="s">
        <v>797</v>
      </c>
      <c r="H784" t="s">
        <v>798</v>
      </c>
      <c r="I784" t="s">
        <v>483</v>
      </c>
    </row>
    <row r="785" spans="3:9" x14ac:dyDescent="0.55000000000000004">
      <c r="C785" s="7"/>
      <c r="E785" t="s">
        <v>799</v>
      </c>
      <c r="F785">
        <v>118</v>
      </c>
      <c r="G785" t="s">
        <v>800</v>
      </c>
      <c r="H785" t="s">
        <v>801</v>
      </c>
      <c r="I785" t="s">
        <v>483</v>
      </c>
    </row>
    <row r="786" spans="3:9" x14ac:dyDescent="0.55000000000000004">
      <c r="C786" s="7"/>
      <c r="E786" t="s">
        <v>802</v>
      </c>
      <c r="F786">
        <v>119</v>
      </c>
      <c r="G786" t="s">
        <v>803</v>
      </c>
      <c r="H786" t="s">
        <v>804</v>
      </c>
      <c r="I786" t="s">
        <v>483</v>
      </c>
    </row>
    <row r="787" spans="3:9" x14ac:dyDescent="0.55000000000000004">
      <c r="C787" s="7"/>
      <c r="E787" t="s">
        <v>805</v>
      </c>
      <c r="F787">
        <v>120</v>
      </c>
      <c r="G787" t="s">
        <v>806</v>
      </c>
      <c r="H787" t="s">
        <v>807</v>
      </c>
      <c r="I787" t="s">
        <v>483</v>
      </c>
    </row>
    <row r="788" spans="3:9" x14ac:dyDescent="0.55000000000000004">
      <c r="C788" s="7"/>
      <c r="E788" t="s">
        <v>808</v>
      </c>
      <c r="F788">
        <v>121</v>
      </c>
      <c r="G788" t="s">
        <v>809</v>
      </c>
      <c r="H788" t="s">
        <v>810</v>
      </c>
      <c r="I788" t="s">
        <v>483</v>
      </c>
    </row>
    <row r="789" spans="3:9" x14ac:dyDescent="0.55000000000000004">
      <c r="C789" s="7"/>
      <c r="E789" t="s">
        <v>811</v>
      </c>
      <c r="F789">
        <v>122</v>
      </c>
      <c r="G789" t="s">
        <v>812</v>
      </c>
      <c r="H789" t="s">
        <v>813</v>
      </c>
      <c r="I789" t="s">
        <v>483</v>
      </c>
    </row>
    <row r="790" spans="3:9" x14ac:dyDescent="0.55000000000000004">
      <c r="C790" s="7"/>
      <c r="E790" t="s">
        <v>814</v>
      </c>
      <c r="F790">
        <v>123</v>
      </c>
      <c r="G790" t="s">
        <v>815</v>
      </c>
      <c r="H790" t="s">
        <v>816</v>
      </c>
      <c r="I790" t="s">
        <v>483</v>
      </c>
    </row>
    <row r="791" spans="3:9" x14ac:dyDescent="0.55000000000000004">
      <c r="C791" s="7"/>
      <c r="E791" t="s">
        <v>817</v>
      </c>
      <c r="F791">
        <v>124</v>
      </c>
      <c r="G791" t="s">
        <v>818</v>
      </c>
      <c r="H791" t="s">
        <v>819</v>
      </c>
      <c r="I791" t="s">
        <v>483</v>
      </c>
    </row>
    <row r="792" spans="3:9" x14ac:dyDescent="0.55000000000000004">
      <c r="C792" s="7"/>
      <c r="E792" t="s">
        <v>820</v>
      </c>
      <c r="F792">
        <v>125</v>
      </c>
      <c r="G792" t="s">
        <v>821</v>
      </c>
      <c r="H792" t="s">
        <v>683</v>
      </c>
      <c r="I792" t="s">
        <v>483</v>
      </c>
    </row>
    <row r="793" spans="3:9" x14ac:dyDescent="0.55000000000000004">
      <c r="C793" s="7"/>
      <c r="E793" t="s">
        <v>822</v>
      </c>
      <c r="F793">
        <v>126</v>
      </c>
      <c r="G793" t="s">
        <v>823</v>
      </c>
      <c r="H793" t="s">
        <v>824</v>
      </c>
      <c r="I793" t="s">
        <v>483</v>
      </c>
    </row>
    <row r="794" spans="3:9" x14ac:dyDescent="0.55000000000000004">
      <c r="C794" s="7"/>
      <c r="E794" t="s">
        <v>825</v>
      </c>
      <c r="F794">
        <v>127</v>
      </c>
      <c r="G794" t="s">
        <v>826</v>
      </c>
      <c r="H794" t="s">
        <v>827</v>
      </c>
      <c r="I794" t="s">
        <v>483</v>
      </c>
    </row>
    <row r="795" spans="3:9" x14ac:dyDescent="0.55000000000000004">
      <c r="C795" s="7"/>
      <c r="E795" t="s">
        <v>828</v>
      </c>
      <c r="F795">
        <v>128</v>
      </c>
      <c r="G795" t="s">
        <v>829</v>
      </c>
      <c r="H795" t="s">
        <v>830</v>
      </c>
      <c r="I795" t="s">
        <v>483</v>
      </c>
    </row>
    <row r="796" spans="3:9" x14ac:dyDescent="0.55000000000000004">
      <c r="C796" s="7"/>
      <c r="E796" t="s">
        <v>831</v>
      </c>
      <c r="F796">
        <v>129</v>
      </c>
      <c r="G796" t="s">
        <v>832</v>
      </c>
      <c r="H796" t="s">
        <v>833</v>
      </c>
      <c r="I796" t="s">
        <v>483</v>
      </c>
    </row>
    <row r="797" spans="3:9" x14ac:dyDescent="0.55000000000000004">
      <c r="C797" s="7"/>
      <c r="E797" t="s">
        <v>834</v>
      </c>
      <c r="F797">
        <v>130</v>
      </c>
      <c r="G797" t="s">
        <v>835</v>
      </c>
      <c r="H797" t="s">
        <v>836</v>
      </c>
      <c r="I797" t="s">
        <v>483</v>
      </c>
    </row>
    <row r="798" spans="3:9" x14ac:dyDescent="0.55000000000000004">
      <c r="C798" s="7"/>
      <c r="E798" t="s">
        <v>837</v>
      </c>
      <c r="F798">
        <v>131</v>
      </c>
      <c r="G798" t="s">
        <v>838</v>
      </c>
      <c r="H798" t="s">
        <v>683</v>
      </c>
      <c r="I798" t="s">
        <v>483</v>
      </c>
    </row>
    <row r="799" spans="3:9" x14ac:dyDescent="0.55000000000000004">
      <c r="C799" s="7"/>
      <c r="E799" t="s">
        <v>839</v>
      </c>
      <c r="F799">
        <v>132</v>
      </c>
      <c r="G799" t="s">
        <v>840</v>
      </c>
      <c r="H799" t="s">
        <v>683</v>
      </c>
      <c r="I799" t="s">
        <v>483</v>
      </c>
    </row>
    <row r="800" spans="3:9" x14ac:dyDescent="0.55000000000000004">
      <c r="C800" s="7"/>
      <c r="E800" t="s">
        <v>841</v>
      </c>
      <c r="F800">
        <v>133</v>
      </c>
      <c r="G800" t="s">
        <v>842</v>
      </c>
      <c r="H800" t="s">
        <v>843</v>
      </c>
      <c r="I800" t="s">
        <v>483</v>
      </c>
    </row>
    <row r="801" spans="3:9" x14ac:dyDescent="0.55000000000000004">
      <c r="C801" s="7"/>
      <c r="E801" t="s">
        <v>844</v>
      </c>
      <c r="F801">
        <v>134</v>
      </c>
      <c r="G801" t="s">
        <v>845</v>
      </c>
      <c r="H801" t="s">
        <v>846</v>
      </c>
      <c r="I801" t="s">
        <v>483</v>
      </c>
    </row>
    <row r="802" spans="3:9" x14ac:dyDescent="0.55000000000000004">
      <c r="C802" s="7"/>
      <c r="E802" t="s">
        <v>847</v>
      </c>
      <c r="F802">
        <v>135</v>
      </c>
      <c r="G802" t="s">
        <v>848</v>
      </c>
      <c r="H802" t="s">
        <v>849</v>
      </c>
      <c r="I802" t="s">
        <v>483</v>
      </c>
    </row>
    <row r="803" spans="3:9" x14ac:dyDescent="0.55000000000000004">
      <c r="C803" s="7"/>
      <c r="E803" t="s">
        <v>850</v>
      </c>
      <c r="F803">
        <v>136</v>
      </c>
      <c r="G803" t="s">
        <v>851</v>
      </c>
      <c r="H803" t="s">
        <v>852</v>
      </c>
      <c r="I803" t="s">
        <v>483</v>
      </c>
    </row>
    <row r="804" spans="3:9" x14ac:dyDescent="0.55000000000000004">
      <c r="C804" s="7"/>
      <c r="E804" t="s">
        <v>853</v>
      </c>
      <c r="F804">
        <v>137</v>
      </c>
      <c r="G804" t="s">
        <v>854</v>
      </c>
      <c r="H804" t="s">
        <v>855</v>
      </c>
      <c r="I804" t="s">
        <v>483</v>
      </c>
    </row>
    <row r="805" spans="3:9" x14ac:dyDescent="0.55000000000000004">
      <c r="C805" s="7"/>
      <c r="E805" t="s">
        <v>856</v>
      </c>
      <c r="F805">
        <v>138</v>
      </c>
      <c r="G805" t="s">
        <v>857</v>
      </c>
      <c r="H805" t="s">
        <v>858</v>
      </c>
      <c r="I805" t="s">
        <v>483</v>
      </c>
    </row>
    <row r="806" spans="3:9" x14ac:dyDescent="0.55000000000000004">
      <c r="C806" s="7"/>
      <c r="E806" t="s">
        <v>859</v>
      </c>
      <c r="F806">
        <v>723</v>
      </c>
      <c r="G806" t="s">
        <v>860</v>
      </c>
      <c r="H806" t="s">
        <v>861</v>
      </c>
      <c r="I806" t="s">
        <v>483</v>
      </c>
    </row>
    <row r="807" spans="3:9" x14ac:dyDescent="0.55000000000000004">
      <c r="C807" s="7"/>
      <c r="E807" t="s">
        <v>862</v>
      </c>
      <c r="F807">
        <v>999</v>
      </c>
      <c r="G807" t="s">
        <v>135</v>
      </c>
      <c r="H807" t="s">
        <v>863</v>
      </c>
      <c r="I807" t="s">
        <v>483</v>
      </c>
    </row>
    <row r="808" spans="3:9" x14ac:dyDescent="0.55000000000000004">
      <c r="C808" s="7"/>
      <c r="E808" t="s">
        <v>879</v>
      </c>
      <c r="F808">
        <v>0</v>
      </c>
      <c r="G808" t="s">
        <v>880</v>
      </c>
      <c r="H808" t="s">
        <v>881</v>
      </c>
      <c r="I808" t="s">
        <v>882</v>
      </c>
    </row>
    <row r="809" spans="3:9" x14ac:dyDescent="0.55000000000000004">
      <c r="C809" s="7"/>
      <c r="E809" t="s">
        <v>883</v>
      </c>
      <c r="F809">
        <v>0</v>
      </c>
      <c r="G809" t="s">
        <v>884</v>
      </c>
      <c r="H809" t="s">
        <v>885</v>
      </c>
      <c r="I809" t="s">
        <v>886</v>
      </c>
    </row>
    <row r="810" spans="3:9" x14ac:dyDescent="0.55000000000000004">
      <c r="C810" s="7"/>
      <c r="E810" t="s">
        <v>895</v>
      </c>
      <c r="F810">
        <v>0</v>
      </c>
      <c r="G810" t="s">
        <v>896</v>
      </c>
      <c r="H810" t="s">
        <v>897</v>
      </c>
      <c r="I810" t="s">
        <v>898</v>
      </c>
    </row>
    <row r="811" spans="3:9" x14ac:dyDescent="0.55000000000000004">
      <c r="C811" s="7"/>
      <c r="E811" t="s">
        <v>903</v>
      </c>
      <c r="F811">
        <v>0</v>
      </c>
      <c r="G811" t="s">
        <v>904</v>
      </c>
      <c r="H811" t="s">
        <v>905</v>
      </c>
      <c r="I811" t="s">
        <v>906</v>
      </c>
    </row>
    <row r="812" spans="3:9" x14ac:dyDescent="0.55000000000000004">
      <c r="C812" s="7"/>
      <c r="E812" t="s">
        <v>907</v>
      </c>
      <c r="F812">
        <v>0</v>
      </c>
      <c r="G812" t="s">
        <v>908</v>
      </c>
      <c r="H812" t="s">
        <v>909</v>
      </c>
      <c r="I812" t="s">
        <v>910</v>
      </c>
    </row>
    <row r="813" spans="3:9" x14ac:dyDescent="0.55000000000000004">
      <c r="C813" s="7"/>
      <c r="E813" t="s">
        <v>911</v>
      </c>
      <c r="F813">
        <v>0</v>
      </c>
      <c r="G813" t="s">
        <v>912</v>
      </c>
      <c r="H813" t="s">
        <v>913</v>
      </c>
      <c r="I813" t="s">
        <v>914</v>
      </c>
    </row>
    <row r="814" spans="3:9" x14ac:dyDescent="0.55000000000000004">
      <c r="C814" s="7"/>
      <c r="E814" t="s">
        <v>931</v>
      </c>
      <c r="F814">
        <v>0</v>
      </c>
      <c r="G814" t="s">
        <v>932</v>
      </c>
      <c r="H814" t="s">
        <v>933</v>
      </c>
      <c r="I814" t="s">
        <v>934</v>
      </c>
    </row>
    <row r="815" spans="3:9" x14ac:dyDescent="0.55000000000000004">
      <c r="C815" s="7"/>
      <c r="E815" t="s">
        <v>939</v>
      </c>
      <c r="F815">
        <v>0</v>
      </c>
      <c r="G815" t="s">
        <v>940</v>
      </c>
      <c r="H815" t="s">
        <v>941</v>
      </c>
      <c r="I815" t="s">
        <v>942</v>
      </c>
    </row>
    <row r="816" spans="3:9" x14ac:dyDescent="0.55000000000000004">
      <c r="C816" s="7"/>
      <c r="E816" t="s">
        <v>943</v>
      </c>
      <c r="F816">
        <v>0</v>
      </c>
      <c r="G816" t="s">
        <v>944</v>
      </c>
      <c r="H816" t="s">
        <v>945</v>
      </c>
      <c r="I816" t="s">
        <v>946</v>
      </c>
    </row>
    <row r="817" spans="3:9" x14ac:dyDescent="0.55000000000000004">
      <c r="C817" s="7"/>
      <c r="E817" t="s">
        <v>951</v>
      </c>
      <c r="F817">
        <v>0</v>
      </c>
      <c r="G817" t="s">
        <v>948</v>
      </c>
      <c r="H817" t="s">
        <v>952</v>
      </c>
      <c r="I817" t="s">
        <v>953</v>
      </c>
    </row>
    <row r="818" spans="3:9" x14ac:dyDescent="0.55000000000000004">
      <c r="C818" s="7"/>
      <c r="E818" t="s">
        <v>954</v>
      </c>
      <c r="F818">
        <v>0</v>
      </c>
      <c r="G818" t="s">
        <v>955</v>
      </c>
      <c r="H818" t="s">
        <v>956</v>
      </c>
      <c r="I818" t="s">
        <v>957</v>
      </c>
    </row>
    <row r="819" spans="3:9" x14ac:dyDescent="0.55000000000000004">
      <c r="C819" s="7"/>
      <c r="E819" t="s">
        <v>966</v>
      </c>
      <c r="F819">
        <v>0</v>
      </c>
      <c r="G819" t="s">
        <v>967</v>
      </c>
      <c r="H819" t="s">
        <v>968</v>
      </c>
      <c r="I819" t="s">
        <v>969</v>
      </c>
    </row>
    <row r="820" spans="3:9" x14ac:dyDescent="0.55000000000000004">
      <c r="C820" s="7"/>
      <c r="E820" t="s">
        <v>975</v>
      </c>
      <c r="F820">
        <v>1</v>
      </c>
      <c r="G820" t="s">
        <v>976</v>
      </c>
      <c r="H820" t="s">
        <v>977</v>
      </c>
      <c r="I820" t="s">
        <v>971</v>
      </c>
    </row>
    <row r="821" spans="3:9" x14ac:dyDescent="0.55000000000000004">
      <c r="C821" s="7"/>
      <c r="E821" t="s">
        <v>978</v>
      </c>
      <c r="F821">
        <v>2</v>
      </c>
      <c r="G821" t="s">
        <v>979</v>
      </c>
      <c r="H821" t="s">
        <v>980</v>
      </c>
      <c r="I821" t="s">
        <v>971</v>
      </c>
    </row>
    <row r="822" spans="3:9" x14ac:dyDescent="0.55000000000000004">
      <c r="C822" s="7"/>
      <c r="E822" t="s">
        <v>981</v>
      </c>
      <c r="F822">
        <v>3</v>
      </c>
      <c r="G822" t="s">
        <v>982</v>
      </c>
      <c r="H822" t="s">
        <v>983</v>
      </c>
      <c r="I822" t="s">
        <v>971</v>
      </c>
    </row>
    <row r="823" spans="3:9" x14ac:dyDescent="0.55000000000000004">
      <c r="C823" s="7"/>
      <c r="E823" t="s">
        <v>984</v>
      </c>
      <c r="F823">
        <v>4</v>
      </c>
      <c r="G823" t="s">
        <v>985</v>
      </c>
      <c r="H823" t="s">
        <v>986</v>
      </c>
      <c r="I823" t="s">
        <v>971</v>
      </c>
    </row>
    <row r="824" spans="3:9" x14ac:dyDescent="0.55000000000000004">
      <c r="C824" s="7"/>
      <c r="E824" t="s">
        <v>987</v>
      </c>
      <c r="F824">
        <v>5</v>
      </c>
      <c r="G824" t="s">
        <v>988</v>
      </c>
      <c r="H824" t="s">
        <v>989</v>
      </c>
      <c r="I824" t="s">
        <v>971</v>
      </c>
    </row>
    <row r="825" spans="3:9" x14ac:dyDescent="0.55000000000000004">
      <c r="C825" s="7"/>
      <c r="E825" t="s">
        <v>990</v>
      </c>
      <c r="F825">
        <v>6</v>
      </c>
      <c r="G825" t="s">
        <v>991</v>
      </c>
      <c r="H825" t="s">
        <v>992</v>
      </c>
      <c r="I825" t="s">
        <v>971</v>
      </c>
    </row>
    <row r="826" spans="3:9" x14ac:dyDescent="0.55000000000000004">
      <c r="C826" s="7"/>
      <c r="E826" t="s">
        <v>993</v>
      </c>
      <c r="F826">
        <v>7</v>
      </c>
      <c r="G826" t="s">
        <v>994</v>
      </c>
      <c r="H826" t="s">
        <v>995</v>
      </c>
      <c r="I826" t="s">
        <v>971</v>
      </c>
    </row>
    <row r="827" spans="3:9" x14ac:dyDescent="0.55000000000000004">
      <c r="C827" s="7"/>
      <c r="E827" t="s">
        <v>996</v>
      </c>
      <c r="F827">
        <v>8</v>
      </c>
      <c r="G827" t="s">
        <v>997</v>
      </c>
      <c r="H827" t="s">
        <v>998</v>
      </c>
      <c r="I827" t="s">
        <v>971</v>
      </c>
    </row>
    <row r="828" spans="3:9" x14ac:dyDescent="0.55000000000000004">
      <c r="C828" s="7"/>
      <c r="E828" t="s">
        <v>999</v>
      </c>
      <c r="F828">
        <v>9</v>
      </c>
      <c r="G828" t="s">
        <v>1000</v>
      </c>
      <c r="H828" t="s">
        <v>1001</v>
      </c>
      <c r="I828" t="s">
        <v>971</v>
      </c>
    </row>
    <row r="829" spans="3:9" x14ac:dyDescent="0.55000000000000004">
      <c r="C829" s="7"/>
      <c r="E829" t="s">
        <v>1002</v>
      </c>
      <c r="F829">
        <v>10</v>
      </c>
      <c r="G829" t="s">
        <v>1003</v>
      </c>
      <c r="H829" t="s">
        <v>1004</v>
      </c>
      <c r="I829" t="s">
        <v>971</v>
      </c>
    </row>
    <row r="830" spans="3:9" x14ac:dyDescent="0.55000000000000004">
      <c r="C830" s="7"/>
      <c r="E830" t="s">
        <v>1005</v>
      </c>
      <c r="F830">
        <v>11</v>
      </c>
      <c r="G830" t="s">
        <v>1006</v>
      </c>
      <c r="H830" t="s">
        <v>1007</v>
      </c>
      <c r="I830" t="s">
        <v>971</v>
      </c>
    </row>
    <row r="831" spans="3:9" x14ac:dyDescent="0.55000000000000004">
      <c r="C831" s="7"/>
      <c r="E831" t="s">
        <v>1008</v>
      </c>
      <c r="F831">
        <v>12</v>
      </c>
      <c r="G831" t="s">
        <v>1009</v>
      </c>
      <c r="H831" t="s">
        <v>1010</v>
      </c>
      <c r="I831" t="s">
        <v>971</v>
      </c>
    </row>
    <row r="832" spans="3:9" x14ac:dyDescent="0.55000000000000004">
      <c r="C832" s="7"/>
      <c r="E832" t="s">
        <v>1011</v>
      </c>
      <c r="F832">
        <v>13</v>
      </c>
      <c r="G832" t="s">
        <v>1012</v>
      </c>
      <c r="H832" t="s">
        <v>1013</v>
      </c>
      <c r="I832" t="s">
        <v>971</v>
      </c>
    </row>
    <row r="833" spans="3:9" x14ac:dyDescent="0.55000000000000004">
      <c r="C833" s="7"/>
      <c r="E833" t="s">
        <v>1014</v>
      </c>
      <c r="F833">
        <v>14</v>
      </c>
      <c r="G833" t="s">
        <v>1015</v>
      </c>
      <c r="H833" t="s">
        <v>1016</v>
      </c>
      <c r="I833" t="s">
        <v>971</v>
      </c>
    </row>
    <row r="834" spans="3:9" x14ac:dyDescent="0.55000000000000004">
      <c r="C834" s="7"/>
      <c r="E834" t="s">
        <v>1017</v>
      </c>
      <c r="F834">
        <v>15</v>
      </c>
      <c r="G834" t="s">
        <v>1018</v>
      </c>
      <c r="H834" t="s">
        <v>1019</v>
      </c>
      <c r="I834" t="s">
        <v>971</v>
      </c>
    </row>
    <row r="835" spans="3:9" x14ac:dyDescent="0.55000000000000004">
      <c r="C835" s="7"/>
      <c r="E835" t="s">
        <v>1020</v>
      </c>
      <c r="F835">
        <v>999</v>
      </c>
      <c r="G835" t="s">
        <v>135</v>
      </c>
      <c r="H835" t="s">
        <v>1021</v>
      </c>
      <c r="I835" t="s">
        <v>971</v>
      </c>
    </row>
    <row r="836" spans="3:9" x14ac:dyDescent="0.55000000000000004">
      <c r="C836" s="7"/>
      <c r="E836" t="s">
        <v>1030</v>
      </c>
      <c r="F836">
        <v>0</v>
      </c>
      <c r="G836" t="s">
        <v>1031</v>
      </c>
      <c r="H836" t="s">
        <v>1032</v>
      </c>
      <c r="I836" t="s">
        <v>1033</v>
      </c>
    </row>
    <row r="837" spans="3:9" x14ac:dyDescent="0.55000000000000004">
      <c r="C837" s="7"/>
      <c r="E837" t="s">
        <v>1038</v>
      </c>
      <c r="F837">
        <v>0</v>
      </c>
      <c r="G837" t="s">
        <v>1039</v>
      </c>
      <c r="H837" t="s">
        <v>1040</v>
      </c>
      <c r="I837" t="s">
        <v>1041</v>
      </c>
    </row>
    <row r="838" spans="3:9" x14ac:dyDescent="0.55000000000000004">
      <c r="C838" s="7"/>
      <c r="E838" t="s">
        <v>1082</v>
      </c>
      <c r="F838">
        <v>0</v>
      </c>
      <c r="G838" t="s">
        <v>1083</v>
      </c>
      <c r="H838" t="s">
        <v>1084</v>
      </c>
      <c r="I838" t="s">
        <v>1085</v>
      </c>
    </row>
    <row r="839" spans="3:9" x14ac:dyDescent="0.55000000000000004">
      <c r="C839" s="7"/>
      <c r="E839" t="s">
        <v>1086</v>
      </c>
      <c r="F839">
        <v>0</v>
      </c>
      <c r="G839" t="s">
        <v>1087</v>
      </c>
      <c r="H839" t="s">
        <v>1088</v>
      </c>
      <c r="I839" t="s">
        <v>1089</v>
      </c>
    </row>
    <row r="840" spans="3:9" x14ac:dyDescent="0.55000000000000004">
      <c r="C840" s="7"/>
      <c r="E840" t="s">
        <v>1094</v>
      </c>
      <c r="F840">
        <v>0</v>
      </c>
      <c r="G840" t="s">
        <v>1095</v>
      </c>
      <c r="H840" t="s">
        <v>1096</v>
      </c>
      <c r="I840" t="s">
        <v>1097</v>
      </c>
    </row>
    <row r="841" spans="3:9" x14ac:dyDescent="0.55000000000000004">
      <c r="C841" s="7"/>
      <c r="E841" t="s">
        <v>1098</v>
      </c>
      <c r="F841">
        <v>0</v>
      </c>
      <c r="G841" t="s">
        <v>1099</v>
      </c>
      <c r="H841" t="s">
        <v>1100</v>
      </c>
      <c r="I841" t="s">
        <v>1101</v>
      </c>
    </row>
    <row r="842" spans="3:9" x14ac:dyDescent="0.55000000000000004">
      <c r="C842" s="7"/>
      <c r="E842" t="s">
        <v>1107</v>
      </c>
      <c r="F842">
        <v>1</v>
      </c>
      <c r="G842" t="s">
        <v>1108</v>
      </c>
      <c r="H842" t="s">
        <v>1109</v>
      </c>
      <c r="I842" t="s">
        <v>1103</v>
      </c>
    </row>
    <row r="843" spans="3:9" x14ac:dyDescent="0.55000000000000004">
      <c r="C843" s="7"/>
      <c r="E843" t="s">
        <v>1110</v>
      </c>
      <c r="F843">
        <v>2</v>
      </c>
      <c r="G843" t="s">
        <v>384</v>
      </c>
      <c r="H843" t="s">
        <v>1111</v>
      </c>
      <c r="I843" t="s">
        <v>1103</v>
      </c>
    </row>
    <row r="844" spans="3:9" x14ac:dyDescent="0.55000000000000004">
      <c r="C844" s="7"/>
      <c r="E844" t="s">
        <v>1112</v>
      </c>
      <c r="F844">
        <v>4</v>
      </c>
      <c r="G844" t="s">
        <v>1113</v>
      </c>
      <c r="H844" t="s">
        <v>1114</v>
      </c>
      <c r="I844" t="s">
        <v>1103</v>
      </c>
    </row>
    <row r="845" spans="3:9" x14ac:dyDescent="0.55000000000000004">
      <c r="C845" s="7"/>
      <c r="E845" t="s">
        <v>1115</v>
      </c>
      <c r="F845">
        <v>5</v>
      </c>
      <c r="G845" t="s">
        <v>1116</v>
      </c>
      <c r="H845" t="s">
        <v>1117</v>
      </c>
      <c r="I845" t="s">
        <v>1103</v>
      </c>
    </row>
    <row r="846" spans="3:9" x14ac:dyDescent="0.55000000000000004">
      <c r="C846" s="7"/>
      <c r="E846" t="s">
        <v>1118</v>
      </c>
      <c r="F846">
        <v>6</v>
      </c>
      <c r="G846" t="s">
        <v>1119</v>
      </c>
      <c r="H846" t="s">
        <v>1120</v>
      </c>
      <c r="I846" t="s">
        <v>1103</v>
      </c>
    </row>
    <row r="847" spans="3:9" x14ac:dyDescent="0.55000000000000004">
      <c r="C847" s="7"/>
      <c r="E847" t="s">
        <v>1121</v>
      </c>
      <c r="F847">
        <v>7</v>
      </c>
      <c r="G847" t="s">
        <v>1122</v>
      </c>
      <c r="H847" t="s">
        <v>1123</v>
      </c>
      <c r="I847" t="s">
        <v>1103</v>
      </c>
    </row>
    <row r="848" spans="3:9" x14ac:dyDescent="0.55000000000000004">
      <c r="C848" s="7"/>
      <c r="E848" t="s">
        <v>1124</v>
      </c>
      <c r="F848">
        <v>8</v>
      </c>
      <c r="G848" t="s">
        <v>186</v>
      </c>
      <c r="H848" t="s">
        <v>1125</v>
      </c>
      <c r="I848" t="s">
        <v>1103</v>
      </c>
    </row>
    <row r="849" spans="3:9" x14ac:dyDescent="0.55000000000000004">
      <c r="C849" s="7"/>
      <c r="E849" t="s">
        <v>1126</v>
      </c>
      <c r="F849">
        <v>9</v>
      </c>
      <c r="G849" t="s">
        <v>1127</v>
      </c>
      <c r="H849" t="s">
        <v>1128</v>
      </c>
      <c r="I849" t="s">
        <v>1103</v>
      </c>
    </row>
    <row r="850" spans="3:9" x14ac:dyDescent="0.55000000000000004">
      <c r="C850" s="7"/>
      <c r="E850" t="s">
        <v>1129</v>
      </c>
      <c r="F850">
        <v>10</v>
      </c>
      <c r="G850" t="s">
        <v>1130</v>
      </c>
      <c r="H850" t="s">
        <v>1131</v>
      </c>
      <c r="I850" t="s">
        <v>1103</v>
      </c>
    </row>
    <row r="851" spans="3:9" x14ac:dyDescent="0.55000000000000004">
      <c r="C851" s="7"/>
      <c r="E851" t="s">
        <v>1132</v>
      </c>
      <c r="F851">
        <v>11</v>
      </c>
      <c r="G851" t="s">
        <v>1133</v>
      </c>
      <c r="H851" t="s">
        <v>1134</v>
      </c>
      <c r="I851" t="s">
        <v>1103</v>
      </c>
    </row>
    <row r="852" spans="3:9" x14ac:dyDescent="0.55000000000000004">
      <c r="C852" s="7"/>
      <c r="E852" t="s">
        <v>1135</v>
      </c>
      <c r="F852">
        <v>12</v>
      </c>
      <c r="G852" t="s">
        <v>1136</v>
      </c>
      <c r="H852" t="s">
        <v>1137</v>
      </c>
      <c r="I852" t="s">
        <v>1103</v>
      </c>
    </row>
    <row r="853" spans="3:9" x14ac:dyDescent="0.55000000000000004">
      <c r="C853" s="7"/>
      <c r="E853" t="s">
        <v>1138</v>
      </c>
      <c r="F853">
        <v>13</v>
      </c>
      <c r="G853" t="s">
        <v>1139</v>
      </c>
      <c r="H853" t="s">
        <v>1140</v>
      </c>
      <c r="I853" t="s">
        <v>1103</v>
      </c>
    </row>
    <row r="854" spans="3:9" x14ac:dyDescent="0.55000000000000004">
      <c r="C854" s="7"/>
      <c r="E854" t="s">
        <v>1141</v>
      </c>
      <c r="F854">
        <v>14</v>
      </c>
      <c r="G854" t="s">
        <v>1142</v>
      </c>
      <c r="H854" t="s">
        <v>1143</v>
      </c>
      <c r="I854" t="s">
        <v>1103</v>
      </c>
    </row>
    <row r="855" spans="3:9" x14ac:dyDescent="0.55000000000000004">
      <c r="C855" s="7"/>
      <c r="E855" t="s">
        <v>1144</v>
      </c>
      <c r="F855">
        <v>15</v>
      </c>
      <c r="G855" t="s">
        <v>1145</v>
      </c>
      <c r="H855" t="s">
        <v>1146</v>
      </c>
      <c r="I855" t="s">
        <v>1103</v>
      </c>
    </row>
    <row r="856" spans="3:9" x14ac:dyDescent="0.55000000000000004">
      <c r="C856" s="7"/>
      <c r="E856" t="s">
        <v>1147</v>
      </c>
      <c r="F856">
        <v>16</v>
      </c>
      <c r="G856" t="s">
        <v>1148</v>
      </c>
      <c r="H856" t="s">
        <v>1149</v>
      </c>
      <c r="I856" t="s">
        <v>1103</v>
      </c>
    </row>
    <row r="857" spans="3:9" x14ac:dyDescent="0.55000000000000004">
      <c r="C857" s="7"/>
      <c r="E857" t="s">
        <v>1150</v>
      </c>
      <c r="F857">
        <v>17</v>
      </c>
      <c r="G857" t="s">
        <v>1151</v>
      </c>
      <c r="H857" t="s">
        <v>1152</v>
      </c>
      <c r="I857" t="s">
        <v>1103</v>
      </c>
    </row>
    <row r="858" spans="3:9" x14ac:dyDescent="0.55000000000000004">
      <c r="C858" s="7"/>
      <c r="E858" t="s">
        <v>1153</v>
      </c>
      <c r="F858">
        <v>999</v>
      </c>
      <c r="G858" t="s">
        <v>135</v>
      </c>
      <c r="H858" t="s">
        <v>1154</v>
      </c>
      <c r="I858" t="s">
        <v>1103</v>
      </c>
    </row>
    <row r="859" spans="3:9" x14ac:dyDescent="0.55000000000000004">
      <c r="C859" s="7"/>
      <c r="E859" t="s">
        <v>1167</v>
      </c>
      <c r="F859">
        <v>0</v>
      </c>
      <c r="G859" t="s">
        <v>1168</v>
      </c>
      <c r="H859" t="s">
        <v>1169</v>
      </c>
      <c r="I859" t="s">
        <v>1170</v>
      </c>
    </row>
    <row r="860" spans="3:9" x14ac:dyDescent="0.55000000000000004">
      <c r="C860" s="7"/>
      <c r="E860" t="s">
        <v>1175</v>
      </c>
      <c r="F860">
        <v>0</v>
      </c>
      <c r="G860" t="s">
        <v>1176</v>
      </c>
      <c r="H860" t="s">
        <v>1177</v>
      </c>
      <c r="I860" t="s">
        <v>1178</v>
      </c>
    </row>
    <row r="861" spans="3:9" x14ac:dyDescent="0.55000000000000004">
      <c r="C861" s="7"/>
      <c r="E861" t="s">
        <v>1202</v>
      </c>
      <c r="F861">
        <v>0</v>
      </c>
      <c r="G861" t="s">
        <v>1203</v>
      </c>
      <c r="H861" t="s">
        <v>1204</v>
      </c>
      <c r="I861" t="s">
        <v>1205</v>
      </c>
    </row>
    <row r="862" spans="3:9" x14ac:dyDescent="0.55000000000000004">
      <c r="C862" s="7"/>
      <c r="E862" t="s">
        <v>1210</v>
      </c>
      <c r="F862">
        <v>0</v>
      </c>
      <c r="G862" t="s">
        <v>1211</v>
      </c>
      <c r="H862" t="s">
        <v>1212</v>
      </c>
      <c r="I862" t="s">
        <v>1213</v>
      </c>
    </row>
    <row r="863" spans="3:9" x14ac:dyDescent="0.55000000000000004">
      <c r="C863" s="7"/>
      <c r="E863" t="s">
        <v>1219</v>
      </c>
      <c r="F863">
        <v>1</v>
      </c>
      <c r="G863" t="s">
        <v>1220</v>
      </c>
      <c r="H863" t="s">
        <v>1221</v>
      </c>
      <c r="I863" t="s">
        <v>1215</v>
      </c>
    </row>
    <row r="864" spans="3:9" x14ac:dyDescent="0.55000000000000004">
      <c r="C864" s="7"/>
      <c r="E864" t="s">
        <v>1222</v>
      </c>
      <c r="F864">
        <v>2</v>
      </c>
      <c r="G864" t="s">
        <v>1223</v>
      </c>
      <c r="H864" t="s">
        <v>1224</v>
      </c>
      <c r="I864" t="s">
        <v>1215</v>
      </c>
    </row>
    <row r="865" spans="3:9" x14ac:dyDescent="0.55000000000000004">
      <c r="C865" s="7"/>
      <c r="E865" t="s">
        <v>1225</v>
      </c>
      <c r="F865">
        <v>3</v>
      </c>
      <c r="G865" t="s">
        <v>1226</v>
      </c>
      <c r="H865" t="s">
        <v>1227</v>
      </c>
      <c r="I865" t="s">
        <v>1215</v>
      </c>
    </row>
    <row r="866" spans="3:9" x14ac:dyDescent="0.55000000000000004">
      <c r="C866" s="7"/>
      <c r="E866" t="s">
        <v>1228</v>
      </c>
      <c r="F866">
        <v>4</v>
      </c>
      <c r="G866" t="s">
        <v>555</v>
      </c>
      <c r="H866" t="s">
        <v>556</v>
      </c>
      <c r="I866" t="s">
        <v>1215</v>
      </c>
    </row>
    <row r="867" spans="3:9" x14ac:dyDescent="0.55000000000000004">
      <c r="C867" s="7"/>
      <c r="E867" t="s">
        <v>1229</v>
      </c>
      <c r="F867">
        <v>5</v>
      </c>
      <c r="G867" t="s">
        <v>1230</v>
      </c>
      <c r="H867" t="s">
        <v>1231</v>
      </c>
      <c r="I867" t="s">
        <v>1215</v>
      </c>
    </row>
    <row r="868" spans="3:9" x14ac:dyDescent="0.55000000000000004">
      <c r="C868" s="7"/>
      <c r="E868" t="s">
        <v>1232</v>
      </c>
      <c r="F868">
        <v>6</v>
      </c>
      <c r="G868" t="s">
        <v>1233</v>
      </c>
      <c r="H868" t="s">
        <v>1234</v>
      </c>
      <c r="I868" t="s">
        <v>1215</v>
      </c>
    </row>
    <row r="869" spans="3:9" x14ac:dyDescent="0.55000000000000004">
      <c r="C869" s="7"/>
      <c r="E869" t="s">
        <v>1235</v>
      </c>
      <c r="F869">
        <v>7</v>
      </c>
      <c r="G869" t="s">
        <v>1236</v>
      </c>
      <c r="H869" t="s">
        <v>1237</v>
      </c>
      <c r="I869" t="s">
        <v>1215</v>
      </c>
    </row>
    <row r="870" spans="3:9" x14ac:dyDescent="0.55000000000000004">
      <c r="C870" s="7"/>
      <c r="E870" t="s">
        <v>1238</v>
      </c>
      <c r="F870">
        <v>8</v>
      </c>
      <c r="G870" t="s">
        <v>1239</v>
      </c>
      <c r="H870" t="s">
        <v>1240</v>
      </c>
      <c r="I870" t="s">
        <v>1215</v>
      </c>
    </row>
    <row r="871" spans="3:9" x14ac:dyDescent="0.55000000000000004">
      <c r="C871" s="7"/>
      <c r="E871" t="s">
        <v>1241</v>
      </c>
      <c r="F871">
        <v>9</v>
      </c>
      <c r="G871" t="s">
        <v>1242</v>
      </c>
      <c r="H871" t="s">
        <v>1243</v>
      </c>
      <c r="I871" t="s">
        <v>1215</v>
      </c>
    </row>
    <row r="872" spans="3:9" x14ac:dyDescent="0.55000000000000004">
      <c r="C872" s="7"/>
      <c r="E872" t="s">
        <v>1244</v>
      </c>
      <c r="F872">
        <v>10</v>
      </c>
      <c r="G872" t="s">
        <v>1245</v>
      </c>
      <c r="H872" t="s">
        <v>1246</v>
      </c>
      <c r="I872" t="s">
        <v>1215</v>
      </c>
    </row>
    <row r="873" spans="3:9" x14ac:dyDescent="0.55000000000000004">
      <c r="C873" s="7"/>
      <c r="E873" t="s">
        <v>1247</v>
      </c>
      <c r="F873">
        <v>11</v>
      </c>
      <c r="G873" t="s">
        <v>1248</v>
      </c>
      <c r="H873" t="s">
        <v>1249</v>
      </c>
      <c r="I873" t="s">
        <v>1215</v>
      </c>
    </row>
    <row r="874" spans="3:9" x14ac:dyDescent="0.55000000000000004">
      <c r="C874" s="7"/>
      <c r="E874" t="s">
        <v>1250</v>
      </c>
      <c r="F874">
        <v>12</v>
      </c>
      <c r="G874" t="s">
        <v>1251</v>
      </c>
      <c r="H874" t="s">
        <v>1252</v>
      </c>
      <c r="I874" t="s">
        <v>1215</v>
      </c>
    </row>
    <row r="875" spans="3:9" x14ac:dyDescent="0.55000000000000004">
      <c r="C875" s="7"/>
      <c r="E875" t="s">
        <v>1253</v>
      </c>
      <c r="F875">
        <v>13</v>
      </c>
      <c r="G875" t="s">
        <v>1254</v>
      </c>
      <c r="H875" t="s">
        <v>1255</v>
      </c>
      <c r="I875" t="s">
        <v>1215</v>
      </c>
    </row>
    <row r="876" spans="3:9" x14ac:dyDescent="0.55000000000000004">
      <c r="C876" s="7"/>
      <c r="E876" t="s">
        <v>1256</v>
      </c>
      <c r="F876">
        <v>14</v>
      </c>
      <c r="G876" t="s">
        <v>1257</v>
      </c>
      <c r="H876" t="s">
        <v>1249</v>
      </c>
      <c r="I876" t="s">
        <v>1215</v>
      </c>
    </row>
    <row r="877" spans="3:9" x14ac:dyDescent="0.55000000000000004">
      <c r="C877" s="7"/>
      <c r="E877" t="s">
        <v>1258</v>
      </c>
      <c r="F877">
        <v>15</v>
      </c>
      <c r="G877" t="s">
        <v>1259</v>
      </c>
      <c r="H877" t="s">
        <v>1260</v>
      </c>
      <c r="I877" t="s">
        <v>1215</v>
      </c>
    </row>
    <row r="878" spans="3:9" x14ac:dyDescent="0.55000000000000004">
      <c r="C878" s="7"/>
      <c r="E878" t="s">
        <v>1261</v>
      </c>
      <c r="F878">
        <v>16</v>
      </c>
      <c r="G878" t="s">
        <v>1262</v>
      </c>
      <c r="H878" t="s">
        <v>1263</v>
      </c>
      <c r="I878" t="s">
        <v>1215</v>
      </c>
    </row>
    <row r="879" spans="3:9" x14ac:dyDescent="0.55000000000000004">
      <c r="C879" s="7"/>
      <c r="E879" t="s">
        <v>1264</v>
      </c>
      <c r="F879">
        <v>17</v>
      </c>
      <c r="G879" t="s">
        <v>1265</v>
      </c>
      <c r="H879" t="s">
        <v>1266</v>
      </c>
      <c r="I879" t="s">
        <v>1215</v>
      </c>
    </row>
    <row r="880" spans="3:9" x14ac:dyDescent="0.55000000000000004">
      <c r="C880" s="7"/>
      <c r="E880" t="s">
        <v>1267</v>
      </c>
      <c r="F880">
        <v>18</v>
      </c>
      <c r="G880" t="s">
        <v>1268</v>
      </c>
      <c r="H880" t="s">
        <v>1269</v>
      </c>
      <c r="I880" t="s">
        <v>1215</v>
      </c>
    </row>
    <row r="881" spans="3:9" x14ac:dyDescent="0.55000000000000004">
      <c r="C881" s="7"/>
      <c r="E881" t="s">
        <v>1270</v>
      </c>
      <c r="F881">
        <v>19</v>
      </c>
      <c r="G881" t="s">
        <v>1271</v>
      </c>
      <c r="H881" t="s">
        <v>1272</v>
      </c>
      <c r="I881" t="s">
        <v>1215</v>
      </c>
    </row>
    <row r="882" spans="3:9" x14ac:dyDescent="0.55000000000000004">
      <c r="C882" s="7"/>
      <c r="E882" t="s">
        <v>1273</v>
      </c>
      <c r="F882">
        <v>20</v>
      </c>
      <c r="G882" t="s">
        <v>1274</v>
      </c>
      <c r="H882" t="s">
        <v>1275</v>
      </c>
      <c r="I882" t="s">
        <v>1215</v>
      </c>
    </row>
    <row r="883" spans="3:9" x14ac:dyDescent="0.55000000000000004">
      <c r="C883" s="7"/>
      <c r="E883" t="s">
        <v>1276</v>
      </c>
      <c r="F883">
        <v>999</v>
      </c>
      <c r="G883" t="s">
        <v>135</v>
      </c>
      <c r="H883" t="s">
        <v>1277</v>
      </c>
      <c r="I883" t="s">
        <v>1215</v>
      </c>
    </row>
    <row r="884" spans="3:9" x14ac:dyDescent="0.55000000000000004">
      <c r="C884" s="7"/>
      <c r="E884" t="s">
        <v>1297</v>
      </c>
      <c r="F884">
        <v>0</v>
      </c>
      <c r="G884" t="s">
        <v>1298</v>
      </c>
      <c r="H884" t="s">
        <v>1299</v>
      </c>
      <c r="I884" t="s">
        <v>1300</v>
      </c>
    </row>
    <row r="885" spans="3:9" x14ac:dyDescent="0.55000000000000004">
      <c r="C885" s="7"/>
      <c r="E885" t="s">
        <v>1301</v>
      </c>
      <c r="F885">
        <v>0</v>
      </c>
      <c r="G885" t="s">
        <v>1302</v>
      </c>
      <c r="H885" t="s">
        <v>1303</v>
      </c>
      <c r="I885" t="s">
        <v>1304</v>
      </c>
    </row>
    <row r="886" spans="3:9" x14ac:dyDescent="0.55000000000000004">
      <c r="C886" s="7"/>
      <c r="E886" t="s">
        <v>1310</v>
      </c>
      <c r="F886">
        <v>2</v>
      </c>
      <c r="G886" t="s">
        <v>1311</v>
      </c>
      <c r="H886" t="s">
        <v>1312</v>
      </c>
      <c r="I886" t="s">
        <v>1306</v>
      </c>
    </row>
    <row r="887" spans="3:9" x14ac:dyDescent="0.55000000000000004">
      <c r="C887" s="7"/>
      <c r="E887" t="s">
        <v>1313</v>
      </c>
      <c r="F887">
        <v>3</v>
      </c>
      <c r="G887" t="s">
        <v>1314</v>
      </c>
      <c r="H887" t="s">
        <v>1315</v>
      </c>
      <c r="I887" t="s">
        <v>1306</v>
      </c>
    </row>
    <row r="888" spans="3:9" x14ac:dyDescent="0.55000000000000004">
      <c r="C888" s="7"/>
      <c r="E888" t="s">
        <v>1316</v>
      </c>
      <c r="F888">
        <v>6</v>
      </c>
      <c r="G888" t="s">
        <v>1317</v>
      </c>
      <c r="H888" t="s">
        <v>1318</v>
      </c>
      <c r="I888" t="s">
        <v>1306</v>
      </c>
    </row>
    <row r="889" spans="3:9" x14ac:dyDescent="0.55000000000000004">
      <c r="C889" s="7"/>
      <c r="E889" t="s">
        <v>1319</v>
      </c>
      <c r="F889">
        <v>8</v>
      </c>
      <c r="G889" t="s">
        <v>1320</v>
      </c>
      <c r="H889" t="s">
        <v>1321</v>
      </c>
      <c r="I889" t="s">
        <v>1306</v>
      </c>
    </row>
    <row r="890" spans="3:9" x14ac:dyDescent="0.55000000000000004">
      <c r="C890" s="7"/>
      <c r="E890" t="s">
        <v>1322</v>
      </c>
      <c r="F890">
        <v>10</v>
      </c>
      <c r="G890" t="s">
        <v>1323</v>
      </c>
      <c r="H890" t="s">
        <v>1324</v>
      </c>
      <c r="I890" t="s">
        <v>1306</v>
      </c>
    </row>
    <row r="891" spans="3:9" x14ac:dyDescent="0.55000000000000004">
      <c r="C891" s="7"/>
      <c r="E891" t="s">
        <v>1325</v>
      </c>
      <c r="F891">
        <v>11</v>
      </c>
      <c r="G891" t="s">
        <v>1326</v>
      </c>
      <c r="H891" t="s">
        <v>1327</v>
      </c>
      <c r="I891" t="s">
        <v>1306</v>
      </c>
    </row>
    <row r="892" spans="3:9" x14ac:dyDescent="0.55000000000000004">
      <c r="C892" s="7"/>
      <c r="E892" t="s">
        <v>1328</v>
      </c>
      <c r="F892">
        <v>13</v>
      </c>
      <c r="G892" t="s">
        <v>1329</v>
      </c>
      <c r="H892" t="s">
        <v>1330</v>
      </c>
      <c r="I892" t="s">
        <v>1306</v>
      </c>
    </row>
    <row r="893" spans="3:9" x14ac:dyDescent="0.55000000000000004">
      <c r="C893" s="7"/>
      <c r="E893" t="s">
        <v>1331</v>
      </c>
      <c r="F893">
        <v>14</v>
      </c>
      <c r="G893" t="s">
        <v>1332</v>
      </c>
      <c r="H893" t="s">
        <v>1333</v>
      </c>
      <c r="I893" t="s">
        <v>1306</v>
      </c>
    </row>
    <row r="894" spans="3:9" x14ac:dyDescent="0.55000000000000004">
      <c r="C894" s="7"/>
      <c r="E894" t="s">
        <v>1334</v>
      </c>
      <c r="F894">
        <v>15</v>
      </c>
      <c r="G894" t="s">
        <v>1335</v>
      </c>
      <c r="H894" t="s">
        <v>1336</v>
      </c>
      <c r="I894" t="s">
        <v>1306</v>
      </c>
    </row>
    <row r="895" spans="3:9" x14ac:dyDescent="0.55000000000000004">
      <c r="C895" s="7"/>
      <c r="E895" t="s">
        <v>1337</v>
      </c>
      <c r="F895">
        <v>16</v>
      </c>
      <c r="G895" t="s">
        <v>1338</v>
      </c>
      <c r="H895" t="s">
        <v>1339</v>
      </c>
      <c r="I895" t="s">
        <v>1306</v>
      </c>
    </row>
    <row r="896" spans="3:9" x14ac:dyDescent="0.55000000000000004">
      <c r="C896" s="7"/>
      <c r="E896" t="s">
        <v>1340</v>
      </c>
      <c r="F896">
        <v>17</v>
      </c>
      <c r="G896" t="s">
        <v>1341</v>
      </c>
      <c r="H896" t="s">
        <v>1342</v>
      </c>
      <c r="I896" t="s">
        <v>1306</v>
      </c>
    </row>
    <row r="897" spans="3:9" x14ac:dyDescent="0.55000000000000004">
      <c r="C897" s="7"/>
      <c r="E897" t="s">
        <v>1343</v>
      </c>
      <c r="F897">
        <v>21</v>
      </c>
      <c r="G897" t="s">
        <v>1344</v>
      </c>
      <c r="H897" t="s">
        <v>1345</v>
      </c>
      <c r="I897" t="s">
        <v>1306</v>
      </c>
    </row>
    <row r="898" spans="3:9" x14ac:dyDescent="0.55000000000000004">
      <c r="C898" s="7"/>
      <c r="E898" t="s">
        <v>1346</v>
      </c>
      <c r="F898">
        <v>999</v>
      </c>
      <c r="G898" t="s">
        <v>135</v>
      </c>
      <c r="H898" t="s">
        <v>1347</v>
      </c>
      <c r="I898" t="s">
        <v>1306</v>
      </c>
    </row>
    <row r="899" spans="3:9" x14ac:dyDescent="0.55000000000000004">
      <c r="C899" s="7"/>
      <c r="E899" t="s">
        <v>1348</v>
      </c>
      <c r="F899">
        <v>0</v>
      </c>
      <c r="G899" t="s">
        <v>1349</v>
      </c>
      <c r="H899" t="s">
        <v>1350</v>
      </c>
      <c r="I899" t="s">
        <v>1351</v>
      </c>
    </row>
    <row r="900" spans="3:9" x14ac:dyDescent="0.55000000000000004">
      <c r="C900" s="7"/>
      <c r="E900" t="s">
        <v>1360</v>
      </c>
      <c r="F900">
        <v>0</v>
      </c>
      <c r="G900" t="s">
        <v>1361</v>
      </c>
      <c r="H900" t="s">
        <v>1362</v>
      </c>
      <c r="I900" t="s">
        <v>1363</v>
      </c>
    </row>
    <row r="901" spans="3:9" x14ac:dyDescent="0.55000000000000004">
      <c r="C901" s="7"/>
      <c r="E901" t="s">
        <v>1371</v>
      </c>
      <c r="F901">
        <v>0</v>
      </c>
      <c r="G901" t="s">
        <v>1372</v>
      </c>
      <c r="H901" t="s">
        <v>1373</v>
      </c>
      <c r="I901" t="s">
        <v>1374</v>
      </c>
    </row>
    <row r="902" spans="3:9" x14ac:dyDescent="0.55000000000000004">
      <c r="C902" s="7"/>
      <c r="E902" t="s">
        <v>1388</v>
      </c>
      <c r="F902">
        <v>1</v>
      </c>
      <c r="G902" t="s">
        <v>1389</v>
      </c>
      <c r="H902" t="s">
        <v>1390</v>
      </c>
      <c r="I902" t="s">
        <v>1384</v>
      </c>
    </row>
    <row r="903" spans="3:9" x14ac:dyDescent="0.55000000000000004">
      <c r="C903" s="7"/>
      <c r="E903" t="s">
        <v>1391</v>
      </c>
      <c r="F903">
        <v>2</v>
      </c>
      <c r="G903" t="s">
        <v>1392</v>
      </c>
      <c r="H903" t="s">
        <v>1393</v>
      </c>
      <c r="I903" t="s">
        <v>1384</v>
      </c>
    </row>
    <row r="904" spans="3:9" x14ac:dyDescent="0.55000000000000004">
      <c r="C904" s="7"/>
      <c r="E904" t="s">
        <v>1394</v>
      </c>
      <c r="F904">
        <v>3</v>
      </c>
      <c r="G904" t="s">
        <v>1395</v>
      </c>
      <c r="H904" t="s">
        <v>1396</v>
      </c>
      <c r="I904" t="s">
        <v>1384</v>
      </c>
    </row>
    <row r="905" spans="3:9" x14ac:dyDescent="0.55000000000000004">
      <c r="C905" s="7"/>
      <c r="E905" t="s">
        <v>1397</v>
      </c>
      <c r="F905">
        <v>4</v>
      </c>
      <c r="G905" t="s">
        <v>1398</v>
      </c>
      <c r="H905" t="s">
        <v>1399</v>
      </c>
      <c r="I905" t="s">
        <v>1384</v>
      </c>
    </row>
    <row r="906" spans="3:9" x14ac:dyDescent="0.55000000000000004">
      <c r="C906" s="7"/>
      <c r="E906" t="s">
        <v>1400</v>
      </c>
      <c r="F906">
        <v>5</v>
      </c>
      <c r="G906" t="s">
        <v>1401</v>
      </c>
      <c r="H906" t="s">
        <v>1402</v>
      </c>
      <c r="I906" t="s">
        <v>1384</v>
      </c>
    </row>
    <row r="907" spans="3:9" x14ac:dyDescent="0.55000000000000004">
      <c r="C907" s="7"/>
      <c r="E907" t="s">
        <v>1403</v>
      </c>
      <c r="F907">
        <v>6</v>
      </c>
      <c r="G907" t="s">
        <v>1404</v>
      </c>
      <c r="H907" t="s">
        <v>1405</v>
      </c>
      <c r="I907" t="s">
        <v>1384</v>
      </c>
    </row>
    <row r="908" spans="3:9" x14ac:dyDescent="0.55000000000000004">
      <c r="C908" s="7"/>
      <c r="E908" t="s">
        <v>1406</v>
      </c>
      <c r="F908">
        <v>7</v>
      </c>
      <c r="G908" t="s">
        <v>1407</v>
      </c>
      <c r="H908" t="s">
        <v>1408</v>
      </c>
      <c r="I908" t="s">
        <v>1384</v>
      </c>
    </row>
    <row r="909" spans="3:9" x14ac:dyDescent="0.55000000000000004">
      <c r="C909" s="7"/>
      <c r="E909" t="s">
        <v>1409</v>
      </c>
      <c r="F909">
        <v>8</v>
      </c>
      <c r="G909" t="s">
        <v>1410</v>
      </c>
      <c r="H909" t="s">
        <v>1411</v>
      </c>
      <c r="I909" t="s">
        <v>1384</v>
      </c>
    </row>
    <row r="910" spans="3:9" x14ac:dyDescent="0.55000000000000004">
      <c r="C910" s="7"/>
      <c r="E910" t="s">
        <v>1412</v>
      </c>
      <c r="F910">
        <v>9</v>
      </c>
      <c r="G910" t="s">
        <v>1413</v>
      </c>
      <c r="H910" t="s">
        <v>1414</v>
      </c>
      <c r="I910" t="s">
        <v>1384</v>
      </c>
    </row>
    <row r="911" spans="3:9" x14ac:dyDescent="0.55000000000000004">
      <c r="C911" s="7"/>
      <c r="E911" t="s">
        <v>1415</v>
      </c>
      <c r="F911">
        <v>10</v>
      </c>
      <c r="G911" t="s">
        <v>1416</v>
      </c>
      <c r="H911" t="s">
        <v>1417</v>
      </c>
      <c r="I911" t="s">
        <v>1384</v>
      </c>
    </row>
    <row r="912" spans="3:9" x14ac:dyDescent="0.55000000000000004">
      <c r="C912" s="7"/>
      <c r="E912" t="s">
        <v>1418</v>
      </c>
      <c r="F912">
        <v>999</v>
      </c>
      <c r="G912" t="s">
        <v>135</v>
      </c>
      <c r="H912" t="s">
        <v>1419</v>
      </c>
      <c r="I912" t="s">
        <v>1384</v>
      </c>
    </row>
    <row r="913" spans="3:9" x14ac:dyDescent="0.55000000000000004">
      <c r="C913" s="7"/>
      <c r="E913" t="s">
        <v>1425</v>
      </c>
      <c r="F913">
        <v>1</v>
      </c>
      <c r="G913" t="s">
        <v>1426</v>
      </c>
      <c r="H913" t="s">
        <v>1427</v>
      </c>
      <c r="I913" t="s">
        <v>1421</v>
      </c>
    </row>
    <row r="914" spans="3:9" x14ac:dyDescent="0.55000000000000004">
      <c r="C914" s="7"/>
      <c r="E914" t="s">
        <v>1428</v>
      </c>
      <c r="F914">
        <v>2</v>
      </c>
      <c r="G914" t="s">
        <v>1429</v>
      </c>
      <c r="H914" t="s">
        <v>1430</v>
      </c>
      <c r="I914" t="s">
        <v>1421</v>
      </c>
    </row>
    <row r="915" spans="3:9" x14ac:dyDescent="0.55000000000000004">
      <c r="C915" s="7"/>
      <c r="E915" t="s">
        <v>1431</v>
      </c>
      <c r="F915">
        <v>3</v>
      </c>
      <c r="G915" t="s">
        <v>1432</v>
      </c>
      <c r="H915" t="s">
        <v>1433</v>
      </c>
      <c r="I915" t="s">
        <v>1421</v>
      </c>
    </row>
    <row r="916" spans="3:9" x14ac:dyDescent="0.55000000000000004">
      <c r="C916" s="7"/>
      <c r="E916" t="s">
        <v>1434</v>
      </c>
      <c r="F916">
        <v>4</v>
      </c>
      <c r="G916" t="s">
        <v>1435</v>
      </c>
      <c r="H916" t="s">
        <v>1436</v>
      </c>
      <c r="I916" t="s">
        <v>1421</v>
      </c>
    </row>
    <row r="917" spans="3:9" x14ac:dyDescent="0.55000000000000004">
      <c r="C917" s="7"/>
      <c r="E917" t="s">
        <v>1437</v>
      </c>
      <c r="F917">
        <v>5</v>
      </c>
      <c r="G917" t="s">
        <v>1438</v>
      </c>
      <c r="H917" t="s">
        <v>1439</v>
      </c>
      <c r="I917" t="s">
        <v>1421</v>
      </c>
    </row>
    <row r="918" spans="3:9" x14ac:dyDescent="0.55000000000000004">
      <c r="C918" s="7"/>
      <c r="E918" t="s">
        <v>1440</v>
      </c>
      <c r="F918">
        <v>6</v>
      </c>
      <c r="G918" t="s">
        <v>1441</v>
      </c>
      <c r="H918" t="s">
        <v>1442</v>
      </c>
      <c r="I918" t="s">
        <v>1421</v>
      </c>
    </row>
    <row r="919" spans="3:9" x14ac:dyDescent="0.55000000000000004">
      <c r="C919" s="7"/>
      <c r="E919" t="s">
        <v>1443</v>
      </c>
      <c r="F919">
        <v>7</v>
      </c>
      <c r="G919" t="s">
        <v>1444</v>
      </c>
      <c r="H919" t="s">
        <v>1445</v>
      </c>
      <c r="I919" t="s">
        <v>1421</v>
      </c>
    </row>
    <row r="920" spans="3:9" x14ac:dyDescent="0.55000000000000004">
      <c r="C920" s="7"/>
      <c r="E920" t="s">
        <v>1446</v>
      </c>
      <c r="F920">
        <v>8</v>
      </c>
      <c r="G920" t="s">
        <v>1447</v>
      </c>
      <c r="H920" t="s">
        <v>1448</v>
      </c>
      <c r="I920" t="s">
        <v>1421</v>
      </c>
    </row>
    <row r="921" spans="3:9" x14ac:dyDescent="0.55000000000000004">
      <c r="C921" s="7"/>
      <c r="E921" t="s">
        <v>1449</v>
      </c>
      <c r="F921">
        <v>9</v>
      </c>
      <c r="G921" t="s">
        <v>1450</v>
      </c>
      <c r="H921" t="s">
        <v>1451</v>
      </c>
      <c r="I921" t="s">
        <v>1421</v>
      </c>
    </row>
    <row r="922" spans="3:9" x14ac:dyDescent="0.55000000000000004">
      <c r="C922" s="7"/>
      <c r="E922" t="s">
        <v>1452</v>
      </c>
      <c r="F922">
        <v>10</v>
      </c>
      <c r="G922" t="s">
        <v>1453</v>
      </c>
      <c r="H922" t="s">
        <v>1454</v>
      </c>
      <c r="I922" t="s">
        <v>1421</v>
      </c>
    </row>
    <row r="923" spans="3:9" x14ac:dyDescent="0.55000000000000004">
      <c r="C923" s="7"/>
      <c r="E923" t="s">
        <v>1455</v>
      </c>
      <c r="F923">
        <v>11</v>
      </c>
      <c r="G923" t="s">
        <v>1456</v>
      </c>
      <c r="H923" t="s">
        <v>1457</v>
      </c>
      <c r="I923" t="s">
        <v>1421</v>
      </c>
    </row>
    <row r="924" spans="3:9" x14ac:dyDescent="0.55000000000000004">
      <c r="C924" s="7"/>
      <c r="E924" t="s">
        <v>1458</v>
      </c>
      <c r="F924">
        <v>12</v>
      </c>
      <c r="G924" t="s">
        <v>1459</v>
      </c>
      <c r="H924" t="s">
        <v>1460</v>
      </c>
      <c r="I924" t="s">
        <v>1421</v>
      </c>
    </row>
    <row r="925" spans="3:9" x14ac:dyDescent="0.55000000000000004">
      <c r="C925" s="7"/>
      <c r="E925" t="s">
        <v>1461</v>
      </c>
      <c r="F925">
        <v>13</v>
      </c>
      <c r="G925" t="s">
        <v>1462</v>
      </c>
      <c r="H925" t="s">
        <v>1463</v>
      </c>
      <c r="I925" t="s">
        <v>1421</v>
      </c>
    </row>
    <row r="926" spans="3:9" x14ac:dyDescent="0.55000000000000004">
      <c r="C926" s="7"/>
      <c r="E926" t="s">
        <v>1464</v>
      </c>
      <c r="F926">
        <v>14</v>
      </c>
      <c r="G926" t="s">
        <v>1465</v>
      </c>
      <c r="H926" t="s">
        <v>1466</v>
      </c>
      <c r="I926" t="s">
        <v>1421</v>
      </c>
    </row>
    <row r="927" spans="3:9" x14ac:dyDescent="0.55000000000000004">
      <c r="C927" s="7"/>
      <c r="E927" t="s">
        <v>1467</v>
      </c>
      <c r="F927">
        <v>15</v>
      </c>
      <c r="G927" t="s">
        <v>1468</v>
      </c>
      <c r="H927" t="s">
        <v>1469</v>
      </c>
      <c r="I927" t="s">
        <v>1421</v>
      </c>
    </row>
    <row r="928" spans="3:9" x14ac:dyDescent="0.55000000000000004">
      <c r="C928" s="7"/>
      <c r="E928" t="s">
        <v>1470</v>
      </c>
      <c r="F928">
        <v>16</v>
      </c>
      <c r="G928" t="s">
        <v>1471</v>
      </c>
      <c r="H928" t="s">
        <v>1472</v>
      </c>
      <c r="I928" t="s">
        <v>1421</v>
      </c>
    </row>
    <row r="929" spans="3:9" x14ac:dyDescent="0.55000000000000004">
      <c r="C929" s="7"/>
      <c r="E929" t="s">
        <v>1473</v>
      </c>
      <c r="F929">
        <v>17</v>
      </c>
      <c r="G929" t="s">
        <v>1474</v>
      </c>
      <c r="H929" t="s">
        <v>1475</v>
      </c>
      <c r="I929" t="s">
        <v>1421</v>
      </c>
    </row>
    <row r="930" spans="3:9" x14ac:dyDescent="0.55000000000000004">
      <c r="C930" s="7"/>
      <c r="E930" t="s">
        <v>1476</v>
      </c>
      <c r="F930">
        <v>18</v>
      </c>
      <c r="G930" t="s">
        <v>1477</v>
      </c>
      <c r="H930" t="s">
        <v>1478</v>
      </c>
      <c r="I930" t="s">
        <v>1421</v>
      </c>
    </row>
    <row r="931" spans="3:9" x14ac:dyDescent="0.55000000000000004">
      <c r="C931" s="7"/>
      <c r="E931" t="s">
        <v>1479</v>
      </c>
      <c r="F931">
        <v>999</v>
      </c>
      <c r="G931" t="s">
        <v>135</v>
      </c>
      <c r="H931" t="s">
        <v>1480</v>
      </c>
      <c r="I931" t="s">
        <v>1421</v>
      </c>
    </row>
    <row r="932" spans="3:9" x14ac:dyDescent="0.55000000000000004">
      <c r="C932" s="7"/>
      <c r="E932" t="s">
        <v>1481</v>
      </c>
      <c r="G932" t="s">
        <v>1482</v>
      </c>
      <c r="I932" t="s">
        <v>1483</v>
      </c>
    </row>
    <row r="933" spans="3:9" x14ac:dyDescent="0.55000000000000004">
      <c r="C933" s="7"/>
      <c r="E933" t="s">
        <v>1484</v>
      </c>
      <c r="F933">
        <v>0</v>
      </c>
      <c r="G933" t="s">
        <v>1482</v>
      </c>
      <c r="H933" t="s">
        <v>1485</v>
      </c>
      <c r="I933" t="s">
        <v>1483</v>
      </c>
    </row>
    <row r="934" spans="3:9" x14ac:dyDescent="0.55000000000000004">
      <c r="C934" s="7"/>
      <c r="E934" t="s">
        <v>1486</v>
      </c>
      <c r="F934">
        <v>1</v>
      </c>
      <c r="G934" t="s">
        <v>1487</v>
      </c>
      <c r="H934" t="s">
        <v>1485</v>
      </c>
      <c r="I934" t="s">
        <v>1483</v>
      </c>
    </row>
    <row r="935" spans="3:9" x14ac:dyDescent="0.55000000000000004">
      <c r="C935" s="7"/>
      <c r="E935" t="s">
        <v>1488</v>
      </c>
      <c r="F935">
        <v>2</v>
      </c>
      <c r="G935" t="s">
        <v>1489</v>
      </c>
      <c r="H935" t="s">
        <v>1485</v>
      </c>
      <c r="I935" t="s">
        <v>1483</v>
      </c>
    </row>
    <row r="936" spans="3:9" x14ac:dyDescent="0.55000000000000004">
      <c r="C936" s="7"/>
      <c r="E936" t="s">
        <v>1502</v>
      </c>
      <c r="F936">
        <v>0</v>
      </c>
      <c r="G936" t="s">
        <v>1503</v>
      </c>
      <c r="H936" t="s">
        <v>1504</v>
      </c>
      <c r="I936" t="s">
        <v>1505</v>
      </c>
    </row>
    <row r="937" spans="3:9" x14ac:dyDescent="0.55000000000000004">
      <c r="C937" s="7"/>
      <c r="E937" t="s">
        <v>1506</v>
      </c>
      <c r="F937">
        <v>0</v>
      </c>
      <c r="G937" t="s">
        <v>1507</v>
      </c>
      <c r="H937" t="s">
        <v>1508</v>
      </c>
      <c r="I937" t="s">
        <v>1509</v>
      </c>
    </row>
    <row r="938" spans="3:9" x14ac:dyDescent="0.55000000000000004">
      <c r="C938" s="7"/>
      <c r="E938" t="s">
        <v>1510</v>
      </c>
      <c r="F938">
        <v>0</v>
      </c>
      <c r="G938" t="s">
        <v>1511</v>
      </c>
      <c r="H938" t="s">
        <v>1512</v>
      </c>
      <c r="I938" t="s">
        <v>1513</v>
      </c>
    </row>
    <row r="939" spans="3:9" x14ac:dyDescent="0.55000000000000004">
      <c r="C939" s="7"/>
      <c r="E939" t="s">
        <v>1514</v>
      </c>
      <c r="F939">
        <v>0</v>
      </c>
      <c r="G939" t="s">
        <v>1515</v>
      </c>
      <c r="H939" t="s">
        <v>1516</v>
      </c>
      <c r="I939" t="s">
        <v>1517</v>
      </c>
    </row>
    <row r="940" spans="3:9" x14ac:dyDescent="0.55000000000000004">
      <c r="C940" s="7"/>
      <c r="E940" t="s">
        <v>1518</v>
      </c>
      <c r="F940">
        <v>0</v>
      </c>
      <c r="G940" t="s">
        <v>1519</v>
      </c>
      <c r="H940" t="s">
        <v>1520</v>
      </c>
      <c r="I940" t="s">
        <v>1521</v>
      </c>
    </row>
    <row r="941" spans="3:9" x14ac:dyDescent="0.55000000000000004">
      <c r="C941" s="7"/>
      <c r="E941" t="s">
        <v>1526</v>
      </c>
      <c r="F941">
        <v>0</v>
      </c>
      <c r="G941" t="s">
        <v>1527</v>
      </c>
      <c r="H941" t="s">
        <v>1528</v>
      </c>
      <c r="I941" t="s">
        <v>1529</v>
      </c>
    </row>
    <row r="942" spans="3:9" x14ac:dyDescent="0.55000000000000004">
      <c r="C942" s="7"/>
      <c r="E942" t="s">
        <v>1535</v>
      </c>
      <c r="F942">
        <v>1</v>
      </c>
      <c r="G942" t="s">
        <v>1536</v>
      </c>
      <c r="H942" t="s">
        <v>1537</v>
      </c>
      <c r="I942" t="s">
        <v>1531</v>
      </c>
    </row>
    <row r="943" spans="3:9" x14ac:dyDescent="0.55000000000000004">
      <c r="C943" s="7"/>
      <c r="E943" t="s">
        <v>1538</v>
      </c>
      <c r="F943">
        <v>2</v>
      </c>
      <c r="G943" t="s">
        <v>1539</v>
      </c>
      <c r="H943" t="s">
        <v>1540</v>
      </c>
      <c r="I943" t="s">
        <v>1531</v>
      </c>
    </row>
    <row r="944" spans="3:9" x14ac:dyDescent="0.55000000000000004">
      <c r="C944" s="7"/>
      <c r="E944" t="s">
        <v>1541</v>
      </c>
      <c r="F944">
        <v>3</v>
      </c>
      <c r="G944" t="s">
        <v>1542</v>
      </c>
      <c r="H944" t="s">
        <v>1543</v>
      </c>
      <c r="I944" t="s">
        <v>1531</v>
      </c>
    </row>
    <row r="945" spans="3:9" x14ac:dyDescent="0.55000000000000004">
      <c r="C945" s="7"/>
      <c r="E945" t="s">
        <v>1544</v>
      </c>
      <c r="F945">
        <v>4</v>
      </c>
      <c r="G945" t="s">
        <v>1545</v>
      </c>
      <c r="H945" t="s">
        <v>1546</v>
      </c>
      <c r="I945" t="s">
        <v>1531</v>
      </c>
    </row>
    <row r="946" spans="3:9" x14ac:dyDescent="0.55000000000000004">
      <c r="C946" s="7"/>
      <c r="E946" t="s">
        <v>1547</v>
      </c>
      <c r="F946">
        <v>5</v>
      </c>
      <c r="G946" t="s">
        <v>1548</v>
      </c>
      <c r="H946" t="s">
        <v>1549</v>
      </c>
      <c r="I946" t="s">
        <v>1531</v>
      </c>
    </row>
    <row r="947" spans="3:9" x14ac:dyDescent="0.55000000000000004">
      <c r="C947" s="7"/>
      <c r="E947" t="s">
        <v>1550</v>
      </c>
      <c r="F947">
        <v>6</v>
      </c>
      <c r="G947" t="s">
        <v>1551</v>
      </c>
      <c r="H947" t="s">
        <v>1552</v>
      </c>
      <c r="I947" t="s">
        <v>1531</v>
      </c>
    </row>
    <row r="948" spans="3:9" x14ac:dyDescent="0.55000000000000004">
      <c r="C948" s="7"/>
      <c r="E948" t="s">
        <v>1553</v>
      </c>
      <c r="F948">
        <v>7</v>
      </c>
      <c r="G948" t="s">
        <v>1554</v>
      </c>
      <c r="H948" t="s">
        <v>1555</v>
      </c>
      <c r="I948" t="s">
        <v>1531</v>
      </c>
    </row>
    <row r="949" spans="3:9" x14ac:dyDescent="0.55000000000000004">
      <c r="C949" s="7"/>
      <c r="E949" t="s">
        <v>1556</v>
      </c>
      <c r="F949">
        <v>8</v>
      </c>
      <c r="G949" t="s">
        <v>1557</v>
      </c>
      <c r="H949" t="s">
        <v>1558</v>
      </c>
      <c r="I949" t="s">
        <v>1531</v>
      </c>
    </row>
    <row r="950" spans="3:9" x14ac:dyDescent="0.55000000000000004">
      <c r="C950" s="7"/>
      <c r="E950" t="s">
        <v>1559</v>
      </c>
      <c r="F950">
        <v>9</v>
      </c>
      <c r="G950" t="s">
        <v>1560</v>
      </c>
      <c r="H950" t="s">
        <v>1561</v>
      </c>
      <c r="I950" t="s">
        <v>1531</v>
      </c>
    </row>
    <row r="951" spans="3:9" x14ac:dyDescent="0.55000000000000004">
      <c r="C951" s="7"/>
      <c r="E951" t="s">
        <v>1562</v>
      </c>
      <c r="F951">
        <v>10</v>
      </c>
      <c r="G951" t="s">
        <v>1563</v>
      </c>
      <c r="H951" t="s">
        <v>1564</v>
      </c>
      <c r="I951" t="s">
        <v>1531</v>
      </c>
    </row>
    <row r="952" spans="3:9" x14ac:dyDescent="0.55000000000000004">
      <c r="C952" s="7"/>
      <c r="E952" t="s">
        <v>1565</v>
      </c>
      <c r="F952">
        <v>11</v>
      </c>
      <c r="G952" t="s">
        <v>1566</v>
      </c>
      <c r="H952" t="s">
        <v>1567</v>
      </c>
      <c r="I952" t="s">
        <v>1531</v>
      </c>
    </row>
    <row r="953" spans="3:9" x14ac:dyDescent="0.55000000000000004">
      <c r="C953" s="7"/>
      <c r="E953" t="s">
        <v>1568</v>
      </c>
      <c r="F953">
        <v>12</v>
      </c>
      <c r="G953" t="s">
        <v>1569</v>
      </c>
      <c r="H953" t="s">
        <v>1570</v>
      </c>
      <c r="I953" t="s">
        <v>1531</v>
      </c>
    </row>
    <row r="954" spans="3:9" x14ac:dyDescent="0.55000000000000004">
      <c r="C954" s="7"/>
      <c r="E954" t="s">
        <v>1571</v>
      </c>
      <c r="F954">
        <v>13</v>
      </c>
      <c r="G954" t="s">
        <v>1572</v>
      </c>
      <c r="H954" t="s">
        <v>1573</v>
      </c>
      <c r="I954" t="s">
        <v>1531</v>
      </c>
    </row>
    <row r="955" spans="3:9" x14ac:dyDescent="0.55000000000000004">
      <c r="C955" s="7"/>
      <c r="E955" t="s">
        <v>1574</v>
      </c>
      <c r="F955">
        <v>14</v>
      </c>
      <c r="G955" t="s">
        <v>1575</v>
      </c>
      <c r="H955" t="s">
        <v>1576</v>
      </c>
      <c r="I955" t="s">
        <v>1531</v>
      </c>
    </row>
    <row r="956" spans="3:9" x14ac:dyDescent="0.55000000000000004">
      <c r="C956" s="7"/>
      <c r="E956" t="s">
        <v>1577</v>
      </c>
      <c r="F956">
        <v>15</v>
      </c>
      <c r="G956" t="s">
        <v>1578</v>
      </c>
      <c r="H956" t="s">
        <v>1579</v>
      </c>
      <c r="I956" t="s">
        <v>1531</v>
      </c>
    </row>
    <row r="957" spans="3:9" x14ac:dyDescent="0.55000000000000004">
      <c r="C957" s="7"/>
      <c r="E957" t="s">
        <v>1580</v>
      </c>
      <c r="F957">
        <v>16</v>
      </c>
      <c r="G957" t="s">
        <v>1581</v>
      </c>
      <c r="H957" t="s">
        <v>1582</v>
      </c>
      <c r="I957" t="s">
        <v>1531</v>
      </c>
    </row>
    <row r="958" spans="3:9" x14ac:dyDescent="0.55000000000000004">
      <c r="C958" s="7"/>
      <c r="E958" t="s">
        <v>1583</v>
      </c>
      <c r="F958">
        <v>17</v>
      </c>
      <c r="G958" t="s">
        <v>1584</v>
      </c>
      <c r="H958" t="s">
        <v>1585</v>
      </c>
      <c r="I958" t="s">
        <v>1531</v>
      </c>
    </row>
    <row r="959" spans="3:9" x14ac:dyDescent="0.55000000000000004">
      <c r="C959" s="7"/>
      <c r="E959" t="s">
        <v>1586</v>
      </c>
      <c r="F959">
        <v>18</v>
      </c>
      <c r="G959" t="s">
        <v>1587</v>
      </c>
      <c r="H959" t="s">
        <v>1588</v>
      </c>
      <c r="I959" t="s">
        <v>1531</v>
      </c>
    </row>
    <row r="960" spans="3:9" x14ac:dyDescent="0.55000000000000004">
      <c r="C960" s="7"/>
      <c r="E960" t="s">
        <v>1589</v>
      </c>
      <c r="F960">
        <v>19</v>
      </c>
      <c r="G960" t="s">
        <v>1590</v>
      </c>
      <c r="H960" t="s">
        <v>1591</v>
      </c>
      <c r="I960" t="s">
        <v>1531</v>
      </c>
    </row>
    <row r="961" spans="3:9" x14ac:dyDescent="0.55000000000000004">
      <c r="C961" s="7"/>
      <c r="E961" t="s">
        <v>1592</v>
      </c>
      <c r="F961">
        <v>20</v>
      </c>
      <c r="G961" t="s">
        <v>1593</v>
      </c>
      <c r="H961" t="s">
        <v>1594</v>
      </c>
      <c r="I961" t="s">
        <v>1531</v>
      </c>
    </row>
    <row r="962" spans="3:9" x14ac:dyDescent="0.55000000000000004">
      <c r="C962" s="7"/>
      <c r="E962" t="s">
        <v>1595</v>
      </c>
      <c r="F962">
        <v>21</v>
      </c>
      <c r="G962" t="s">
        <v>1596</v>
      </c>
      <c r="H962" t="s">
        <v>1597</v>
      </c>
      <c r="I962" t="s">
        <v>1531</v>
      </c>
    </row>
    <row r="963" spans="3:9" x14ac:dyDescent="0.55000000000000004">
      <c r="C963" s="7"/>
      <c r="E963" t="s">
        <v>1598</v>
      </c>
      <c r="F963">
        <v>22</v>
      </c>
      <c r="G963" t="s">
        <v>1599</v>
      </c>
      <c r="H963" t="s">
        <v>1600</v>
      </c>
      <c r="I963" t="s">
        <v>1531</v>
      </c>
    </row>
    <row r="964" spans="3:9" x14ac:dyDescent="0.55000000000000004">
      <c r="C964" s="7"/>
      <c r="E964" t="s">
        <v>1601</v>
      </c>
      <c r="F964">
        <v>23</v>
      </c>
      <c r="G964" t="s">
        <v>1602</v>
      </c>
      <c r="H964" t="s">
        <v>1603</v>
      </c>
      <c r="I964" t="s">
        <v>1531</v>
      </c>
    </row>
    <row r="965" spans="3:9" x14ac:dyDescent="0.55000000000000004">
      <c r="C965" s="7"/>
      <c r="E965" t="s">
        <v>1604</v>
      </c>
      <c r="F965">
        <v>24</v>
      </c>
      <c r="G965" t="s">
        <v>1605</v>
      </c>
      <c r="H965" t="s">
        <v>1606</v>
      </c>
      <c r="I965" t="s">
        <v>1531</v>
      </c>
    </row>
    <row r="966" spans="3:9" x14ac:dyDescent="0.55000000000000004">
      <c r="C966" s="7"/>
      <c r="E966" t="s">
        <v>1607</v>
      </c>
      <c r="F966">
        <v>25</v>
      </c>
      <c r="G966" t="s">
        <v>1608</v>
      </c>
      <c r="H966" t="s">
        <v>1609</v>
      </c>
      <c r="I966" t="s">
        <v>1531</v>
      </c>
    </row>
    <row r="967" spans="3:9" x14ac:dyDescent="0.55000000000000004">
      <c r="C967" s="7"/>
      <c r="E967" t="s">
        <v>1610</v>
      </c>
      <c r="F967">
        <v>26</v>
      </c>
      <c r="G967" t="s">
        <v>1611</v>
      </c>
      <c r="H967" t="s">
        <v>1612</v>
      </c>
      <c r="I967" t="s">
        <v>1531</v>
      </c>
    </row>
    <row r="968" spans="3:9" x14ac:dyDescent="0.55000000000000004">
      <c r="C968" s="7"/>
      <c r="E968" t="s">
        <v>1613</v>
      </c>
      <c r="F968">
        <v>27</v>
      </c>
      <c r="G968" t="s">
        <v>1614</v>
      </c>
      <c r="H968" t="s">
        <v>1615</v>
      </c>
      <c r="I968" t="s">
        <v>1531</v>
      </c>
    </row>
    <row r="969" spans="3:9" x14ac:dyDescent="0.55000000000000004">
      <c r="C969" s="7"/>
      <c r="E969" t="s">
        <v>1616</v>
      </c>
      <c r="F969">
        <v>999</v>
      </c>
      <c r="G969" t="s">
        <v>135</v>
      </c>
      <c r="H969" t="s">
        <v>1617</v>
      </c>
      <c r="I969" t="s">
        <v>1531</v>
      </c>
    </row>
    <row r="970" spans="3:9" x14ac:dyDescent="0.55000000000000004">
      <c r="C970" s="7"/>
      <c r="E970" t="s">
        <v>1634</v>
      </c>
      <c r="F970">
        <v>0</v>
      </c>
      <c r="G970" t="s">
        <v>1635</v>
      </c>
      <c r="H970" t="s">
        <v>1636</v>
      </c>
      <c r="I970" t="s">
        <v>1637</v>
      </c>
    </row>
    <row r="971" spans="3:9" x14ac:dyDescent="0.55000000000000004">
      <c r="C971" s="7"/>
      <c r="E971" t="s">
        <v>1650</v>
      </c>
      <c r="F971">
        <v>0</v>
      </c>
      <c r="G971" t="s">
        <v>1651</v>
      </c>
      <c r="H971" t="s">
        <v>1652</v>
      </c>
      <c r="I971" t="s">
        <v>1653</v>
      </c>
    </row>
    <row r="972" spans="3:9" x14ac:dyDescent="0.55000000000000004">
      <c r="C972" s="7"/>
      <c r="E972" t="s">
        <v>1674</v>
      </c>
      <c r="F972">
        <v>0</v>
      </c>
      <c r="G972" t="s">
        <v>1675</v>
      </c>
      <c r="H972" t="s">
        <v>1676</v>
      </c>
      <c r="I972" t="s">
        <v>1677</v>
      </c>
    </row>
    <row r="973" spans="3:9" x14ac:dyDescent="0.55000000000000004">
      <c r="C973" s="7"/>
      <c r="E973" t="s">
        <v>1682</v>
      </c>
      <c r="F973">
        <v>0</v>
      </c>
      <c r="G973" t="s">
        <v>1683</v>
      </c>
      <c r="H973" t="s">
        <v>1684</v>
      </c>
      <c r="I973" t="s">
        <v>1685</v>
      </c>
    </row>
    <row r="974" spans="3:9" x14ac:dyDescent="0.55000000000000004">
      <c r="C974" s="7"/>
      <c r="E974" t="s">
        <v>1686</v>
      </c>
      <c r="F974">
        <v>0</v>
      </c>
      <c r="G974" t="s">
        <v>1687</v>
      </c>
      <c r="H974" t="s">
        <v>1688</v>
      </c>
      <c r="I974" t="s">
        <v>1689</v>
      </c>
    </row>
    <row r="975" spans="3:9" x14ac:dyDescent="0.55000000000000004">
      <c r="C975" s="7"/>
      <c r="E975" t="s">
        <v>1718</v>
      </c>
      <c r="F975">
        <v>0</v>
      </c>
      <c r="G975" t="s">
        <v>1719</v>
      </c>
      <c r="H975" t="s">
        <v>1720</v>
      </c>
      <c r="I975" t="s">
        <v>1721</v>
      </c>
    </row>
    <row r="976" spans="3:9" x14ac:dyDescent="0.55000000000000004">
      <c r="C976" s="7"/>
      <c r="E976" t="s">
        <v>1754</v>
      </c>
      <c r="F976">
        <v>0</v>
      </c>
      <c r="G976" t="s">
        <v>1755</v>
      </c>
      <c r="H976" t="s">
        <v>1756</v>
      </c>
      <c r="I976" t="s">
        <v>1757</v>
      </c>
    </row>
    <row r="977" spans="3:9" x14ac:dyDescent="0.55000000000000004">
      <c r="C977" s="7"/>
      <c r="E977" t="s">
        <v>1774</v>
      </c>
      <c r="F977">
        <v>0</v>
      </c>
      <c r="G977" t="s">
        <v>1775</v>
      </c>
      <c r="H977" t="s">
        <v>1776</v>
      </c>
      <c r="I977" t="s">
        <v>1777</v>
      </c>
    </row>
    <row r="978" spans="3:9" x14ac:dyDescent="0.55000000000000004">
      <c r="C978" s="7"/>
      <c r="E978" t="s">
        <v>1778</v>
      </c>
      <c r="F978">
        <v>0</v>
      </c>
      <c r="G978" t="s">
        <v>1779</v>
      </c>
      <c r="H978" t="s">
        <v>1780</v>
      </c>
      <c r="I978" t="s">
        <v>1781</v>
      </c>
    </row>
    <row r="979" spans="3:9" x14ac:dyDescent="0.55000000000000004">
      <c r="C979" s="7"/>
      <c r="E979" t="s">
        <v>1782</v>
      </c>
      <c r="F979">
        <v>0</v>
      </c>
      <c r="G979" t="s">
        <v>1783</v>
      </c>
      <c r="H979" t="s">
        <v>1784</v>
      </c>
      <c r="I979" t="s">
        <v>1785</v>
      </c>
    </row>
    <row r="980" spans="3:9" x14ac:dyDescent="0.55000000000000004">
      <c r="C980" s="7"/>
      <c r="E980" t="s">
        <v>1790</v>
      </c>
      <c r="F980">
        <v>0</v>
      </c>
      <c r="G980" t="s">
        <v>1791</v>
      </c>
      <c r="H980" t="s">
        <v>1792</v>
      </c>
      <c r="I980" t="s">
        <v>1793</v>
      </c>
    </row>
    <row r="981" spans="3:9" x14ac:dyDescent="0.55000000000000004">
      <c r="C981" s="7"/>
      <c r="E981" t="s">
        <v>1806</v>
      </c>
      <c r="F981">
        <v>0</v>
      </c>
      <c r="G981" t="s">
        <v>1807</v>
      </c>
      <c r="H981" t="s">
        <v>1808</v>
      </c>
      <c r="I981" t="s">
        <v>1809</v>
      </c>
    </row>
    <row r="982" spans="3:9" x14ac:dyDescent="0.55000000000000004">
      <c r="C982" s="7"/>
      <c r="E982" t="s">
        <v>1810</v>
      </c>
      <c r="F982">
        <v>0</v>
      </c>
      <c r="G982" t="s">
        <v>1811</v>
      </c>
      <c r="H982" t="s">
        <v>1812</v>
      </c>
      <c r="I982" t="s">
        <v>1813</v>
      </c>
    </row>
    <row r="983" spans="3:9" x14ac:dyDescent="0.55000000000000004">
      <c r="C983" s="7"/>
      <c r="E983" t="s">
        <v>1814</v>
      </c>
      <c r="F983">
        <v>0</v>
      </c>
      <c r="G983" t="s">
        <v>1815</v>
      </c>
      <c r="H983" t="s">
        <v>1816</v>
      </c>
      <c r="I983" t="s">
        <v>1817</v>
      </c>
    </row>
    <row r="984" spans="3:9" x14ac:dyDescent="0.55000000000000004">
      <c r="C984" s="7"/>
      <c r="E984" t="s">
        <v>1830</v>
      </c>
      <c r="F984">
        <v>0</v>
      </c>
      <c r="G984" t="s">
        <v>1831</v>
      </c>
      <c r="H984" t="s">
        <v>1832</v>
      </c>
      <c r="I984" t="s">
        <v>1833</v>
      </c>
    </row>
    <row r="985" spans="3:9" x14ac:dyDescent="0.55000000000000004">
      <c r="C985" s="7"/>
      <c r="E985" t="s">
        <v>1834</v>
      </c>
      <c r="F985">
        <v>0</v>
      </c>
      <c r="G985" t="s">
        <v>1835</v>
      </c>
      <c r="H985" t="s">
        <v>1836</v>
      </c>
      <c r="I985" t="s">
        <v>1837</v>
      </c>
    </row>
    <row r="986" spans="3:9" x14ac:dyDescent="0.55000000000000004">
      <c r="C986" s="7"/>
      <c r="E986" t="s">
        <v>1838</v>
      </c>
      <c r="F986">
        <v>0</v>
      </c>
      <c r="G986" t="s">
        <v>1839</v>
      </c>
      <c r="H986" t="s">
        <v>1840</v>
      </c>
      <c r="I986" t="s">
        <v>1841</v>
      </c>
    </row>
    <row r="987" spans="3:9" x14ac:dyDescent="0.55000000000000004">
      <c r="C987" s="7"/>
      <c r="E987" t="s">
        <v>1842</v>
      </c>
      <c r="F987">
        <v>0</v>
      </c>
      <c r="G987" t="s">
        <v>1843</v>
      </c>
      <c r="H987" t="s">
        <v>1844</v>
      </c>
      <c r="I987" t="s">
        <v>1845</v>
      </c>
    </row>
    <row r="988" spans="3:9" x14ac:dyDescent="0.55000000000000004">
      <c r="C988" s="7"/>
      <c r="E988" t="s">
        <v>1848</v>
      </c>
      <c r="F988">
        <v>0</v>
      </c>
      <c r="G988" t="s">
        <v>1849</v>
      </c>
      <c r="H988" t="s">
        <v>1850</v>
      </c>
      <c r="I988" t="s">
        <v>1851</v>
      </c>
    </row>
    <row r="989" spans="3:9" x14ac:dyDescent="0.55000000000000004">
      <c r="C989" s="7"/>
      <c r="E989" t="s">
        <v>1856</v>
      </c>
      <c r="F989">
        <v>0</v>
      </c>
      <c r="G989" t="s">
        <v>1857</v>
      </c>
      <c r="H989" t="s">
        <v>1858</v>
      </c>
      <c r="I989" t="s">
        <v>1859</v>
      </c>
    </row>
    <row r="990" spans="3:9" x14ac:dyDescent="0.55000000000000004">
      <c r="C990" s="7"/>
      <c r="E990" t="s">
        <v>1860</v>
      </c>
      <c r="F990">
        <v>0</v>
      </c>
      <c r="G990" t="s">
        <v>1861</v>
      </c>
      <c r="H990" t="s">
        <v>1862</v>
      </c>
      <c r="I990" t="s">
        <v>1863</v>
      </c>
    </row>
    <row r="991" spans="3:9" x14ac:dyDescent="0.55000000000000004">
      <c r="C991" s="7"/>
      <c r="E991" t="s">
        <v>1864</v>
      </c>
      <c r="F991">
        <v>0</v>
      </c>
      <c r="G991" t="s">
        <v>1865</v>
      </c>
      <c r="H991" t="s">
        <v>1866</v>
      </c>
      <c r="I991" t="s">
        <v>1867</v>
      </c>
    </row>
    <row r="992" spans="3:9" x14ac:dyDescent="0.55000000000000004">
      <c r="C992" s="7"/>
      <c r="E992" t="s">
        <v>1868</v>
      </c>
      <c r="F992">
        <v>0</v>
      </c>
      <c r="G992" t="s">
        <v>1869</v>
      </c>
      <c r="H992" t="s">
        <v>1870</v>
      </c>
      <c r="I992" t="s">
        <v>1871</v>
      </c>
    </row>
    <row r="993" spans="3:9" x14ac:dyDescent="0.55000000000000004">
      <c r="C993" s="7"/>
      <c r="E993" t="s">
        <v>1879</v>
      </c>
      <c r="F993">
        <v>0</v>
      </c>
      <c r="G993" t="s">
        <v>1880</v>
      </c>
      <c r="H993" t="s">
        <v>1881</v>
      </c>
      <c r="I993" t="s">
        <v>1882</v>
      </c>
    </row>
    <row r="994" spans="3:9" x14ac:dyDescent="0.55000000000000004">
      <c r="C994" s="7"/>
      <c r="E994" t="s">
        <v>1894</v>
      </c>
      <c r="F994">
        <v>0</v>
      </c>
      <c r="G994" t="s">
        <v>1895</v>
      </c>
      <c r="H994" t="s">
        <v>1896</v>
      </c>
      <c r="I994" t="s">
        <v>1897</v>
      </c>
    </row>
    <row r="995" spans="3:9" x14ac:dyDescent="0.55000000000000004">
      <c r="C995" s="7"/>
      <c r="E995" t="s">
        <v>1898</v>
      </c>
      <c r="F995">
        <v>0</v>
      </c>
      <c r="G995" t="s">
        <v>1899</v>
      </c>
      <c r="H995" t="s">
        <v>1900</v>
      </c>
      <c r="I995" t="s">
        <v>1901</v>
      </c>
    </row>
    <row r="996" spans="3:9" x14ac:dyDescent="0.55000000000000004">
      <c r="C996" s="7"/>
      <c r="E996" t="s">
        <v>1902</v>
      </c>
      <c r="F996">
        <v>0</v>
      </c>
      <c r="G996" t="s">
        <v>1903</v>
      </c>
      <c r="H996" t="s">
        <v>1904</v>
      </c>
      <c r="I996" t="s">
        <v>1905</v>
      </c>
    </row>
    <row r="997" spans="3:9" x14ac:dyDescent="0.55000000000000004">
      <c r="C997" s="7"/>
      <c r="E997" t="s">
        <v>1910</v>
      </c>
      <c r="F997">
        <v>0</v>
      </c>
      <c r="G997" t="s">
        <v>1911</v>
      </c>
      <c r="H997" t="s">
        <v>1912</v>
      </c>
      <c r="I997" t="s">
        <v>1913</v>
      </c>
    </row>
    <row r="998" spans="3:9" x14ac:dyDescent="0.55000000000000004">
      <c r="C998" s="7"/>
      <c r="E998" t="s">
        <v>1914</v>
      </c>
      <c r="F998">
        <v>0</v>
      </c>
      <c r="G998" t="s">
        <v>1915</v>
      </c>
      <c r="H998" t="s">
        <v>1916</v>
      </c>
      <c r="I998" t="s">
        <v>1917</v>
      </c>
    </row>
    <row r="999" spans="3:9" x14ac:dyDescent="0.55000000000000004">
      <c r="C999" s="7"/>
      <c r="E999" t="s">
        <v>1930</v>
      </c>
      <c r="F999">
        <v>0</v>
      </c>
      <c r="G999" t="s">
        <v>1931</v>
      </c>
      <c r="H999" t="s">
        <v>1932</v>
      </c>
      <c r="I999" t="s">
        <v>1933</v>
      </c>
    </row>
    <row r="1000" spans="3:9" x14ac:dyDescent="0.55000000000000004">
      <c r="C1000" s="7"/>
      <c r="E1000" t="s">
        <v>1934</v>
      </c>
      <c r="F1000">
        <v>0</v>
      </c>
      <c r="G1000" t="s">
        <v>1935</v>
      </c>
      <c r="H1000" t="s">
        <v>1936</v>
      </c>
      <c r="I1000" t="s">
        <v>1937</v>
      </c>
    </row>
    <row r="1001" spans="3:9" x14ac:dyDescent="0.55000000000000004">
      <c r="C1001" s="7"/>
      <c r="E1001" t="s">
        <v>1938</v>
      </c>
      <c r="F1001">
        <v>0</v>
      </c>
      <c r="G1001" t="s">
        <v>1939</v>
      </c>
      <c r="H1001" t="s">
        <v>1940</v>
      </c>
      <c r="I1001" t="s">
        <v>1941</v>
      </c>
    </row>
    <row r="1002" spans="3:9" x14ac:dyDescent="0.55000000000000004">
      <c r="C1002" s="7"/>
      <c r="E1002" t="s">
        <v>1950</v>
      </c>
      <c r="F1002">
        <v>0</v>
      </c>
      <c r="G1002" t="s">
        <v>1951</v>
      </c>
      <c r="H1002" t="s">
        <v>1952</v>
      </c>
      <c r="I1002" t="s">
        <v>1953</v>
      </c>
    </row>
    <row r="1003" spans="3:9" x14ac:dyDescent="0.55000000000000004">
      <c r="C1003" s="7"/>
      <c r="E1003" t="s">
        <v>1954</v>
      </c>
      <c r="F1003">
        <v>0</v>
      </c>
      <c r="G1003" t="s">
        <v>1955</v>
      </c>
      <c r="H1003" t="s">
        <v>1956</v>
      </c>
      <c r="I1003" t="s">
        <v>1957</v>
      </c>
    </row>
    <row r="1004" spans="3:9" x14ac:dyDescent="0.55000000000000004">
      <c r="C1004" s="7"/>
      <c r="E1004" t="s">
        <v>1958</v>
      </c>
      <c r="F1004">
        <v>0</v>
      </c>
      <c r="G1004" t="s">
        <v>1959</v>
      </c>
      <c r="H1004" t="s">
        <v>1960</v>
      </c>
      <c r="I1004" t="s">
        <v>1961</v>
      </c>
    </row>
    <row r="1005" spans="3:9" x14ac:dyDescent="0.55000000000000004">
      <c r="C1005" s="7"/>
      <c r="E1005" t="s">
        <v>1962</v>
      </c>
      <c r="F1005">
        <v>0</v>
      </c>
      <c r="G1005" t="s">
        <v>1963</v>
      </c>
      <c r="H1005" t="s">
        <v>1964</v>
      </c>
      <c r="I1005" t="s">
        <v>1965</v>
      </c>
    </row>
    <row r="1006" spans="3:9" x14ac:dyDescent="0.55000000000000004">
      <c r="C1006" s="7"/>
      <c r="E1006" t="s">
        <v>1966</v>
      </c>
      <c r="F1006">
        <v>0</v>
      </c>
      <c r="G1006" t="s">
        <v>1967</v>
      </c>
      <c r="H1006" t="s">
        <v>1968</v>
      </c>
      <c r="I1006" t="s">
        <v>1969</v>
      </c>
    </row>
    <row r="1007" spans="3:9" x14ac:dyDescent="0.55000000000000004">
      <c r="C1007" s="7"/>
      <c r="E1007" t="s">
        <v>1970</v>
      </c>
      <c r="F1007">
        <v>0</v>
      </c>
      <c r="G1007" t="s">
        <v>1971</v>
      </c>
      <c r="H1007" t="s">
        <v>1972</v>
      </c>
      <c r="I1007" t="s">
        <v>1973</v>
      </c>
    </row>
    <row r="1008" spans="3:9" x14ac:dyDescent="0.55000000000000004">
      <c r="C1008" s="7"/>
      <c r="E1008" t="s">
        <v>1974</v>
      </c>
      <c r="F1008">
        <v>0</v>
      </c>
      <c r="G1008" t="s">
        <v>1975</v>
      </c>
      <c r="H1008" t="s">
        <v>1976</v>
      </c>
      <c r="I1008" t="s">
        <v>1977</v>
      </c>
    </row>
    <row r="1009" spans="3:9" x14ac:dyDescent="0.55000000000000004">
      <c r="C1009" s="7"/>
      <c r="E1009" t="s">
        <v>1982</v>
      </c>
      <c r="F1009">
        <v>0</v>
      </c>
      <c r="G1009" t="s">
        <v>1983</v>
      </c>
      <c r="H1009" t="s">
        <v>1984</v>
      </c>
      <c r="I1009" t="s">
        <v>1985</v>
      </c>
    </row>
    <row r="1010" spans="3:9" x14ac:dyDescent="0.55000000000000004">
      <c r="C1010" s="7"/>
      <c r="E1010" t="s">
        <v>2002</v>
      </c>
      <c r="F1010">
        <v>0</v>
      </c>
      <c r="G1010" t="s">
        <v>2003</v>
      </c>
      <c r="H1010" t="s">
        <v>2004</v>
      </c>
      <c r="I1010" t="s">
        <v>2005</v>
      </c>
    </row>
    <row r="1011" spans="3:9" x14ac:dyDescent="0.55000000000000004">
      <c r="C1011" s="7"/>
      <c r="E1011" t="s">
        <v>2006</v>
      </c>
      <c r="F1011">
        <v>0</v>
      </c>
      <c r="G1011" t="s">
        <v>2007</v>
      </c>
      <c r="H1011" t="s">
        <v>2008</v>
      </c>
      <c r="I1011" t="s">
        <v>2009</v>
      </c>
    </row>
    <row r="1012" spans="3:9" x14ac:dyDescent="0.55000000000000004">
      <c r="C1012" s="7"/>
      <c r="E1012" t="s">
        <v>2010</v>
      </c>
      <c r="F1012">
        <v>0</v>
      </c>
      <c r="G1012" t="s">
        <v>2011</v>
      </c>
      <c r="H1012" t="s">
        <v>2012</v>
      </c>
      <c r="I1012" t="s">
        <v>2013</v>
      </c>
    </row>
    <row r="1013" spans="3:9" x14ac:dyDescent="0.55000000000000004">
      <c r="C1013" s="7"/>
      <c r="E1013" t="s">
        <v>2018</v>
      </c>
      <c r="F1013">
        <v>0</v>
      </c>
      <c r="G1013" t="s">
        <v>2019</v>
      </c>
      <c r="H1013" t="s">
        <v>2020</v>
      </c>
      <c r="I1013" t="s">
        <v>2021</v>
      </c>
    </row>
    <row r="1014" spans="3:9" x14ac:dyDescent="0.55000000000000004">
      <c r="C1014" s="7"/>
      <c r="E1014" t="s">
        <v>2026</v>
      </c>
      <c r="F1014">
        <v>0</v>
      </c>
      <c r="G1014" t="s">
        <v>2027</v>
      </c>
      <c r="H1014" t="s">
        <v>2028</v>
      </c>
      <c r="I1014" t="s">
        <v>2029</v>
      </c>
    </row>
    <row r="1015" spans="3:9" x14ac:dyDescent="0.55000000000000004">
      <c r="C1015" s="7"/>
      <c r="E1015" t="s">
        <v>2030</v>
      </c>
      <c r="F1015">
        <v>0</v>
      </c>
      <c r="G1015" t="s">
        <v>2031</v>
      </c>
      <c r="H1015" t="s">
        <v>2032</v>
      </c>
      <c r="I1015" t="s">
        <v>2033</v>
      </c>
    </row>
    <row r="1016" spans="3:9" x14ac:dyDescent="0.55000000000000004">
      <c r="C1016" s="7"/>
      <c r="E1016" t="s">
        <v>2038</v>
      </c>
      <c r="F1016">
        <v>0</v>
      </c>
      <c r="G1016" t="s">
        <v>2039</v>
      </c>
      <c r="H1016" t="s">
        <v>2040</v>
      </c>
      <c r="I1016" t="s">
        <v>2041</v>
      </c>
    </row>
    <row r="1017" spans="3:9" x14ac:dyDescent="0.55000000000000004">
      <c r="C1017" s="7"/>
      <c r="E1017" t="s">
        <v>2042</v>
      </c>
      <c r="F1017">
        <v>0</v>
      </c>
      <c r="G1017" t="s">
        <v>2043</v>
      </c>
      <c r="H1017" t="s">
        <v>2044</v>
      </c>
      <c r="I1017" t="s">
        <v>2045</v>
      </c>
    </row>
    <row r="1018" spans="3:9" x14ac:dyDescent="0.55000000000000004">
      <c r="C1018" s="7"/>
      <c r="E1018" t="s">
        <v>2050</v>
      </c>
      <c r="F1018">
        <v>0</v>
      </c>
      <c r="G1018" t="s">
        <v>2051</v>
      </c>
      <c r="H1018" t="s">
        <v>2052</v>
      </c>
      <c r="I1018" t="s">
        <v>2053</v>
      </c>
    </row>
    <row r="1019" spans="3:9" x14ac:dyDescent="0.55000000000000004">
      <c r="C1019" s="7"/>
      <c r="E1019" t="s">
        <v>2057</v>
      </c>
      <c r="F1019">
        <v>0</v>
      </c>
      <c r="G1019" t="s">
        <v>2058</v>
      </c>
      <c r="H1019" t="s">
        <v>2059</v>
      </c>
      <c r="I1019" t="s">
        <v>2060</v>
      </c>
    </row>
    <row r="1020" spans="3:9" x14ac:dyDescent="0.55000000000000004">
      <c r="C1020" s="7"/>
      <c r="E1020" t="s">
        <v>2061</v>
      </c>
      <c r="F1020">
        <v>0</v>
      </c>
      <c r="G1020" t="s">
        <v>2062</v>
      </c>
      <c r="H1020" t="s">
        <v>2063</v>
      </c>
      <c r="I1020" t="s">
        <v>2064</v>
      </c>
    </row>
    <row r="1021" spans="3:9" x14ac:dyDescent="0.55000000000000004">
      <c r="C1021" s="7"/>
      <c r="E1021" t="s">
        <v>2065</v>
      </c>
      <c r="F1021">
        <v>0</v>
      </c>
      <c r="G1021" t="s">
        <v>2066</v>
      </c>
      <c r="H1021" t="s">
        <v>2067</v>
      </c>
      <c r="I1021" t="s">
        <v>2068</v>
      </c>
    </row>
    <row r="1022" spans="3:9" x14ac:dyDescent="0.55000000000000004">
      <c r="C1022" s="7"/>
      <c r="E1022" t="s">
        <v>2069</v>
      </c>
      <c r="F1022">
        <v>0</v>
      </c>
      <c r="G1022" t="s">
        <v>2070</v>
      </c>
      <c r="H1022" t="s">
        <v>2071</v>
      </c>
      <c r="I1022" t="s">
        <v>2072</v>
      </c>
    </row>
    <row r="1023" spans="3:9" x14ac:dyDescent="0.55000000000000004">
      <c r="C1023" s="7"/>
      <c r="E1023" t="s">
        <v>2073</v>
      </c>
      <c r="G1023" t="s">
        <v>2074</v>
      </c>
      <c r="I1023" t="s">
        <v>2075</v>
      </c>
    </row>
    <row r="1024" spans="3:9" x14ac:dyDescent="0.55000000000000004">
      <c r="C1024" s="7"/>
      <c r="E1024" t="s">
        <v>2076</v>
      </c>
      <c r="F1024">
        <v>0</v>
      </c>
      <c r="G1024" t="s">
        <v>2077</v>
      </c>
      <c r="H1024" t="s">
        <v>2078</v>
      </c>
      <c r="I1024" t="s">
        <v>2075</v>
      </c>
    </row>
    <row r="1025" spans="3:9" x14ac:dyDescent="0.55000000000000004">
      <c r="C1025" s="7"/>
      <c r="E1025" t="s">
        <v>2079</v>
      </c>
      <c r="F1025">
        <v>1</v>
      </c>
      <c r="G1025" t="s">
        <v>2074</v>
      </c>
      <c r="H1025" t="s">
        <v>2080</v>
      </c>
      <c r="I1025" t="s">
        <v>2075</v>
      </c>
    </row>
    <row r="1026" spans="3:9" x14ac:dyDescent="0.55000000000000004">
      <c r="C1026" s="7"/>
      <c r="E1026" t="s">
        <v>2081</v>
      </c>
      <c r="F1026">
        <v>2</v>
      </c>
      <c r="G1026" t="s">
        <v>2082</v>
      </c>
      <c r="H1026" t="s">
        <v>2083</v>
      </c>
      <c r="I1026" t="s">
        <v>2075</v>
      </c>
    </row>
    <row r="1027" spans="3:9" x14ac:dyDescent="0.55000000000000004">
      <c r="C1027" s="7"/>
      <c r="E1027" t="s">
        <v>2084</v>
      </c>
      <c r="F1027">
        <v>3</v>
      </c>
      <c r="G1027" t="s">
        <v>2085</v>
      </c>
      <c r="H1027" t="s">
        <v>2086</v>
      </c>
      <c r="I1027" t="s">
        <v>2075</v>
      </c>
    </row>
    <row r="1028" spans="3:9" x14ac:dyDescent="0.55000000000000004">
      <c r="C1028" s="7"/>
      <c r="E1028" t="s">
        <v>2087</v>
      </c>
      <c r="F1028">
        <v>999</v>
      </c>
      <c r="G1028" t="s">
        <v>135</v>
      </c>
      <c r="H1028" t="s">
        <v>2088</v>
      </c>
      <c r="I1028" t="s">
        <v>2075</v>
      </c>
    </row>
    <row r="1029" spans="3:9" x14ac:dyDescent="0.55000000000000004">
      <c r="C1029" s="7"/>
      <c r="E1029" t="s">
        <v>2089</v>
      </c>
      <c r="F1029">
        <v>0</v>
      </c>
      <c r="G1029" t="s">
        <v>2090</v>
      </c>
      <c r="H1029" t="s">
        <v>2091</v>
      </c>
      <c r="I1029" t="s">
        <v>2092</v>
      </c>
    </row>
    <row r="1030" spans="3:9" x14ac:dyDescent="0.55000000000000004">
      <c r="C1030" s="7"/>
      <c r="E1030" t="s">
        <v>2097</v>
      </c>
      <c r="F1030">
        <v>0</v>
      </c>
      <c r="G1030" t="s">
        <v>2098</v>
      </c>
      <c r="H1030" t="s">
        <v>2099</v>
      </c>
      <c r="I1030" t="s">
        <v>2100</v>
      </c>
    </row>
    <row r="1031" spans="3:9" x14ac:dyDescent="0.55000000000000004">
      <c r="C1031" s="7"/>
      <c r="E1031" t="s">
        <v>2105</v>
      </c>
      <c r="F1031">
        <v>0</v>
      </c>
      <c r="G1031" t="s">
        <v>2106</v>
      </c>
      <c r="H1031" t="s">
        <v>2107</v>
      </c>
      <c r="I1031" t="s">
        <v>2108</v>
      </c>
    </row>
    <row r="1032" spans="3:9" x14ac:dyDescent="0.55000000000000004">
      <c r="C1032" s="7"/>
      <c r="E1032" t="s">
        <v>2109</v>
      </c>
      <c r="F1032">
        <v>0</v>
      </c>
      <c r="G1032" t="s">
        <v>1067</v>
      </c>
      <c r="H1032" t="s">
        <v>2110</v>
      </c>
      <c r="I1032" t="s">
        <v>2111</v>
      </c>
    </row>
    <row r="1033" spans="3:9" x14ac:dyDescent="0.55000000000000004">
      <c r="C1033" s="7"/>
      <c r="E1033" t="s">
        <v>2112</v>
      </c>
      <c r="F1033">
        <v>0</v>
      </c>
      <c r="G1033" t="s">
        <v>2113</v>
      </c>
      <c r="H1033" t="s">
        <v>2114</v>
      </c>
      <c r="I1033" t="s">
        <v>2115</v>
      </c>
    </row>
    <row r="1034" spans="3:9" x14ac:dyDescent="0.55000000000000004">
      <c r="C1034" s="7"/>
      <c r="E1034" t="s">
        <v>2116</v>
      </c>
      <c r="F1034">
        <v>0</v>
      </c>
      <c r="G1034" t="s">
        <v>2117</v>
      </c>
      <c r="H1034" t="s">
        <v>2118</v>
      </c>
      <c r="I1034" t="s">
        <v>2119</v>
      </c>
    </row>
    <row r="1035" spans="3:9" x14ac:dyDescent="0.55000000000000004">
      <c r="C1035" s="7"/>
      <c r="E1035" t="s">
        <v>2120</v>
      </c>
      <c r="F1035">
        <v>0</v>
      </c>
      <c r="G1035" t="s">
        <v>2121</v>
      </c>
      <c r="H1035" t="s">
        <v>2122</v>
      </c>
      <c r="I1035" t="s">
        <v>2123</v>
      </c>
    </row>
    <row r="1036" spans="3:9" x14ac:dyDescent="0.55000000000000004">
      <c r="C1036" s="7"/>
      <c r="E1036" t="s">
        <v>2124</v>
      </c>
      <c r="F1036">
        <v>0</v>
      </c>
      <c r="G1036" t="s">
        <v>2125</v>
      </c>
      <c r="H1036" t="s">
        <v>2126</v>
      </c>
      <c r="I1036" t="s">
        <v>2127</v>
      </c>
    </row>
    <row r="1037" spans="3:9" x14ac:dyDescent="0.55000000000000004">
      <c r="C1037" s="7"/>
      <c r="E1037" t="s">
        <v>2128</v>
      </c>
      <c r="F1037">
        <v>0</v>
      </c>
      <c r="G1037" t="s">
        <v>2129</v>
      </c>
      <c r="H1037" t="s">
        <v>2130</v>
      </c>
      <c r="I1037" t="s">
        <v>2131</v>
      </c>
    </row>
    <row r="1038" spans="3:9" x14ac:dyDescent="0.55000000000000004">
      <c r="C1038" s="7"/>
      <c r="E1038" t="s">
        <v>2135</v>
      </c>
      <c r="F1038">
        <v>0</v>
      </c>
      <c r="G1038" t="s">
        <v>2136</v>
      </c>
      <c r="H1038" t="s">
        <v>2137</v>
      </c>
      <c r="I1038" t="s">
        <v>2138</v>
      </c>
    </row>
    <row r="1039" spans="3:9" x14ac:dyDescent="0.55000000000000004">
      <c r="C1039" s="7"/>
      <c r="E1039" t="s">
        <v>2139</v>
      </c>
      <c r="F1039">
        <v>0</v>
      </c>
      <c r="G1039" t="s">
        <v>2140</v>
      </c>
      <c r="H1039" t="s">
        <v>2141</v>
      </c>
      <c r="I1039" t="s">
        <v>2142</v>
      </c>
    </row>
    <row r="1040" spans="3:9" x14ac:dyDescent="0.55000000000000004">
      <c r="C1040" s="7"/>
      <c r="E1040" t="s">
        <v>2151</v>
      </c>
      <c r="F1040">
        <v>0</v>
      </c>
      <c r="G1040" t="s">
        <v>2152</v>
      </c>
      <c r="H1040" t="s">
        <v>2153</v>
      </c>
      <c r="I1040" t="s">
        <v>2154</v>
      </c>
    </row>
    <row r="1041" spans="3:9" x14ac:dyDescent="0.55000000000000004">
      <c r="C1041" s="7"/>
      <c r="E1041" t="s">
        <v>2155</v>
      </c>
      <c r="F1041">
        <v>0</v>
      </c>
      <c r="G1041" t="s">
        <v>2156</v>
      </c>
      <c r="H1041" t="s">
        <v>2157</v>
      </c>
      <c r="I1041" t="s">
        <v>2158</v>
      </c>
    </row>
    <row r="1042" spans="3:9" x14ac:dyDescent="0.55000000000000004">
      <c r="C1042" s="7"/>
      <c r="E1042" t="s">
        <v>2159</v>
      </c>
      <c r="F1042">
        <v>0</v>
      </c>
      <c r="G1042" t="s">
        <v>2160</v>
      </c>
      <c r="H1042" t="s">
        <v>2161</v>
      </c>
      <c r="I1042" t="s">
        <v>2162</v>
      </c>
    </row>
    <row r="1043" spans="3:9" x14ac:dyDescent="0.55000000000000004">
      <c r="C1043" s="7"/>
      <c r="E1043" t="s">
        <v>2163</v>
      </c>
      <c r="F1043">
        <v>0</v>
      </c>
      <c r="G1043" t="s">
        <v>2164</v>
      </c>
      <c r="H1043" t="s">
        <v>2165</v>
      </c>
      <c r="I1043" t="s">
        <v>2166</v>
      </c>
    </row>
    <row r="1044" spans="3:9" x14ac:dyDescent="0.55000000000000004">
      <c r="C1044" s="7"/>
      <c r="E1044" t="s">
        <v>2167</v>
      </c>
      <c r="F1044">
        <v>0</v>
      </c>
      <c r="G1044" t="s">
        <v>2168</v>
      </c>
      <c r="H1044" t="s">
        <v>2169</v>
      </c>
      <c r="I1044" t="s">
        <v>2170</v>
      </c>
    </row>
    <row r="1045" spans="3:9" x14ac:dyDescent="0.55000000000000004">
      <c r="C1045" s="7"/>
      <c r="E1045" t="s">
        <v>2175</v>
      </c>
      <c r="F1045">
        <v>0</v>
      </c>
      <c r="G1045" t="s">
        <v>2176</v>
      </c>
      <c r="H1045" t="s">
        <v>2177</v>
      </c>
      <c r="I1045" t="s">
        <v>2178</v>
      </c>
    </row>
    <row r="1046" spans="3:9" x14ac:dyDescent="0.55000000000000004">
      <c r="C1046" s="7"/>
      <c r="E1046" t="s">
        <v>2202</v>
      </c>
      <c r="F1046">
        <v>0</v>
      </c>
      <c r="G1046" t="s">
        <v>2203</v>
      </c>
      <c r="H1046" t="s">
        <v>2204</v>
      </c>
      <c r="I1046" t="s">
        <v>2205</v>
      </c>
    </row>
    <row r="1047" spans="3:9" x14ac:dyDescent="0.55000000000000004">
      <c r="C1047" s="7"/>
      <c r="E1047" t="s">
        <v>2206</v>
      </c>
      <c r="F1047">
        <v>0</v>
      </c>
      <c r="G1047" t="s">
        <v>2207</v>
      </c>
      <c r="H1047" t="s">
        <v>2204</v>
      </c>
      <c r="I1047" t="s">
        <v>2208</v>
      </c>
    </row>
    <row r="1048" spans="3:9" x14ac:dyDescent="0.55000000000000004">
      <c r="C1048" s="7"/>
      <c r="E1048" t="s">
        <v>2209</v>
      </c>
      <c r="F1048">
        <v>0</v>
      </c>
      <c r="G1048" t="s">
        <v>2210</v>
      </c>
      <c r="H1048" t="s">
        <v>2211</v>
      </c>
      <c r="I1048" t="s">
        <v>2212</v>
      </c>
    </row>
    <row r="1049" spans="3:9" x14ac:dyDescent="0.55000000000000004">
      <c r="C1049" s="7"/>
      <c r="E1049" t="s">
        <v>2213</v>
      </c>
      <c r="F1049">
        <v>0</v>
      </c>
      <c r="G1049" t="s">
        <v>2214</v>
      </c>
      <c r="H1049" t="s">
        <v>2215</v>
      </c>
      <c r="I1049" t="s">
        <v>2216</v>
      </c>
    </row>
    <row r="1050" spans="3:9" x14ac:dyDescent="0.55000000000000004">
      <c r="C1050" s="7"/>
      <c r="E1050" t="s">
        <v>2217</v>
      </c>
      <c r="F1050">
        <v>0</v>
      </c>
      <c r="G1050" t="s">
        <v>2218</v>
      </c>
      <c r="H1050" t="s">
        <v>2219</v>
      </c>
      <c r="I1050" t="s">
        <v>2220</v>
      </c>
    </row>
    <row r="1051" spans="3:9" x14ac:dyDescent="0.55000000000000004">
      <c r="C1051" s="7"/>
      <c r="E1051" t="s">
        <v>2221</v>
      </c>
      <c r="F1051">
        <v>0</v>
      </c>
      <c r="G1051" t="s">
        <v>2222</v>
      </c>
      <c r="H1051" t="s">
        <v>2223</v>
      </c>
      <c r="I1051" t="s">
        <v>2224</v>
      </c>
    </row>
    <row r="1052" spans="3:9" x14ac:dyDescent="0.55000000000000004">
      <c r="C1052" s="7"/>
      <c r="E1052" t="s">
        <v>2225</v>
      </c>
      <c r="F1052">
        <v>0</v>
      </c>
      <c r="G1052" t="s">
        <v>2226</v>
      </c>
      <c r="H1052" t="s">
        <v>2227</v>
      </c>
      <c r="I1052" t="s">
        <v>2228</v>
      </c>
    </row>
    <row r="1053" spans="3:9" x14ac:dyDescent="0.55000000000000004">
      <c r="C1053" s="7"/>
      <c r="G1053" t="s">
        <v>2229</v>
      </c>
      <c r="I1053" t="s">
        <v>2230</v>
      </c>
    </row>
    <row r="1054" spans="3:9" x14ac:dyDescent="0.55000000000000004">
      <c r="C1054" s="7"/>
      <c r="E1054" t="s">
        <v>2231</v>
      </c>
      <c r="F1054">
        <v>0</v>
      </c>
      <c r="G1054" t="s">
        <v>2232</v>
      </c>
      <c r="H1054" t="s">
        <v>2233</v>
      </c>
      <c r="I1054" t="s">
        <v>2234</v>
      </c>
    </row>
    <row r="1055" spans="3:9" x14ac:dyDescent="0.55000000000000004">
      <c r="C1055" s="7"/>
      <c r="E1055" t="s">
        <v>2235</v>
      </c>
      <c r="F1055">
        <v>0</v>
      </c>
      <c r="G1055" t="s">
        <v>2236</v>
      </c>
      <c r="H1055" t="s">
        <v>2237</v>
      </c>
      <c r="I1055" t="s">
        <v>2238</v>
      </c>
    </row>
    <row r="1056" spans="3:9" x14ac:dyDescent="0.55000000000000004">
      <c r="C1056" s="7"/>
      <c r="E1056" t="s">
        <v>2239</v>
      </c>
      <c r="F1056">
        <v>0</v>
      </c>
      <c r="G1056" t="s">
        <v>2240</v>
      </c>
      <c r="H1056" t="s">
        <v>2241</v>
      </c>
      <c r="I1056" t="s">
        <v>2242</v>
      </c>
    </row>
    <row r="1057" spans="3:9" x14ac:dyDescent="0.55000000000000004">
      <c r="C1057" s="7"/>
      <c r="E1057" t="s">
        <v>2243</v>
      </c>
      <c r="F1057">
        <v>0</v>
      </c>
      <c r="G1057" t="s">
        <v>2244</v>
      </c>
      <c r="H1057" t="s">
        <v>2245</v>
      </c>
      <c r="I1057" t="s">
        <v>2246</v>
      </c>
    </row>
    <row r="1058" spans="3:9" x14ac:dyDescent="0.55000000000000004">
      <c r="C1058" s="7"/>
      <c r="E1058" t="s">
        <v>2247</v>
      </c>
      <c r="F1058">
        <v>0</v>
      </c>
      <c r="G1058" t="s">
        <v>2248</v>
      </c>
      <c r="H1058" t="s">
        <v>2249</v>
      </c>
      <c r="I1058" t="s">
        <v>2250</v>
      </c>
    </row>
    <row r="1059" spans="3:9" x14ac:dyDescent="0.55000000000000004">
      <c r="C1059" s="7"/>
      <c r="E1059" t="s">
        <v>2251</v>
      </c>
      <c r="F1059">
        <v>0</v>
      </c>
      <c r="G1059" t="s">
        <v>2252</v>
      </c>
      <c r="H1059" t="s">
        <v>2253</v>
      </c>
      <c r="I1059" t="s">
        <v>2254</v>
      </c>
    </row>
    <row r="1060" spans="3:9" x14ac:dyDescent="0.55000000000000004">
      <c r="C1060" s="7"/>
      <c r="E1060" t="s">
        <v>2263</v>
      </c>
      <c r="F1060">
        <v>0</v>
      </c>
      <c r="G1060" t="s">
        <v>2264</v>
      </c>
      <c r="H1060" t="s">
        <v>2265</v>
      </c>
      <c r="I1060" t="s">
        <v>2266</v>
      </c>
    </row>
    <row r="1061" spans="3:9" x14ac:dyDescent="0.55000000000000004">
      <c r="C1061" s="7"/>
      <c r="E1061" t="s">
        <v>2271</v>
      </c>
      <c r="F1061">
        <v>0</v>
      </c>
      <c r="G1061" t="s">
        <v>2272</v>
      </c>
      <c r="H1061" t="s">
        <v>2273</v>
      </c>
      <c r="I1061" t="s">
        <v>2274</v>
      </c>
    </row>
    <row r="1062" spans="3:9" x14ac:dyDescent="0.55000000000000004">
      <c r="C1062" s="7"/>
      <c r="E1062" t="s">
        <v>2279</v>
      </c>
      <c r="F1062">
        <v>0</v>
      </c>
      <c r="G1062" t="s">
        <v>2280</v>
      </c>
      <c r="H1062" t="s">
        <v>2281</v>
      </c>
      <c r="I1062" t="s">
        <v>2282</v>
      </c>
    </row>
    <row r="1063" spans="3:9" x14ac:dyDescent="0.55000000000000004">
      <c r="C1063" s="7"/>
      <c r="E1063" t="s">
        <v>2283</v>
      </c>
      <c r="F1063">
        <v>0</v>
      </c>
      <c r="G1063" t="s">
        <v>2284</v>
      </c>
      <c r="H1063" t="s">
        <v>2285</v>
      </c>
      <c r="I1063" t="s">
        <v>2286</v>
      </c>
    </row>
    <row r="1064" spans="3:9" x14ac:dyDescent="0.55000000000000004">
      <c r="C1064" s="7"/>
      <c r="E1064" t="s">
        <v>2287</v>
      </c>
      <c r="F1064">
        <v>0</v>
      </c>
      <c r="G1064" t="s">
        <v>1548</v>
      </c>
      <c r="H1064" t="s">
        <v>2288</v>
      </c>
      <c r="I1064" t="s">
        <v>2289</v>
      </c>
    </row>
    <row r="1065" spans="3:9" x14ac:dyDescent="0.55000000000000004">
      <c r="C1065" s="7"/>
      <c r="E1065" t="s">
        <v>2290</v>
      </c>
      <c r="F1065">
        <v>0</v>
      </c>
      <c r="G1065" t="s">
        <v>2291</v>
      </c>
      <c r="H1065" t="s">
        <v>2292</v>
      </c>
      <c r="I1065" t="s">
        <v>2293</v>
      </c>
    </row>
    <row r="1066" spans="3:9" x14ac:dyDescent="0.55000000000000004">
      <c r="C1066" s="7"/>
      <c r="E1066" t="s">
        <v>2294</v>
      </c>
      <c r="F1066">
        <v>0</v>
      </c>
      <c r="G1066" t="s">
        <v>2295</v>
      </c>
      <c r="H1066" t="s">
        <v>2296</v>
      </c>
      <c r="I1066" t="s">
        <v>2297</v>
      </c>
    </row>
    <row r="1067" spans="3:9" x14ac:dyDescent="0.55000000000000004">
      <c r="C1067" s="7"/>
      <c r="E1067" t="s">
        <v>2298</v>
      </c>
      <c r="F1067">
        <v>0</v>
      </c>
      <c r="G1067" t="s">
        <v>2284</v>
      </c>
      <c r="H1067" t="s">
        <v>2299</v>
      </c>
      <c r="I1067" t="s">
        <v>2300</v>
      </c>
    </row>
    <row r="1068" spans="3:9" x14ac:dyDescent="0.55000000000000004">
      <c r="C1068" s="7"/>
      <c r="E1068" t="s">
        <v>2301</v>
      </c>
      <c r="F1068">
        <v>0</v>
      </c>
      <c r="G1068" t="s">
        <v>2302</v>
      </c>
      <c r="H1068" t="s">
        <v>2303</v>
      </c>
      <c r="I1068" t="s">
        <v>2304</v>
      </c>
    </row>
    <row r="1069" spans="3:9" x14ac:dyDescent="0.55000000000000004">
      <c r="C1069" s="7"/>
      <c r="E1069" t="s">
        <v>2305</v>
      </c>
      <c r="F1069">
        <v>0</v>
      </c>
      <c r="G1069" t="s">
        <v>2306</v>
      </c>
      <c r="H1069" t="s">
        <v>2307</v>
      </c>
      <c r="I1069" t="s">
        <v>2308</v>
      </c>
    </row>
    <row r="1070" spans="3:9" x14ac:dyDescent="0.55000000000000004">
      <c r="C1070" s="7"/>
      <c r="E1070" t="s">
        <v>2309</v>
      </c>
      <c r="F1070">
        <v>0</v>
      </c>
      <c r="G1070" t="s">
        <v>2310</v>
      </c>
      <c r="H1070" t="s">
        <v>2311</v>
      </c>
      <c r="I1070" t="s">
        <v>2312</v>
      </c>
    </row>
    <row r="1071" spans="3:9" x14ac:dyDescent="0.55000000000000004">
      <c r="C1071" s="7"/>
      <c r="E1071" t="s">
        <v>2318</v>
      </c>
      <c r="F1071">
        <v>0</v>
      </c>
      <c r="G1071" t="s">
        <v>2319</v>
      </c>
      <c r="H1071" t="s">
        <v>2320</v>
      </c>
      <c r="I1071" t="s">
        <v>2317</v>
      </c>
    </row>
    <row r="1072" spans="3:9" x14ac:dyDescent="0.55000000000000004">
      <c r="C1072" s="7"/>
      <c r="E1072" t="s">
        <v>2321</v>
      </c>
      <c r="F1072">
        <v>1</v>
      </c>
      <c r="G1072" t="s">
        <v>2322</v>
      </c>
      <c r="H1072" t="s">
        <v>2323</v>
      </c>
      <c r="I1072" t="s">
        <v>2317</v>
      </c>
    </row>
    <row r="1073" spans="3:9" x14ac:dyDescent="0.55000000000000004">
      <c r="C1073" s="7"/>
      <c r="E1073" t="s">
        <v>2324</v>
      </c>
      <c r="F1073">
        <v>2</v>
      </c>
      <c r="G1073" t="s">
        <v>2325</v>
      </c>
      <c r="H1073" t="s">
        <v>2326</v>
      </c>
      <c r="I1073" t="s">
        <v>2317</v>
      </c>
    </row>
    <row r="1074" spans="3:9" x14ac:dyDescent="0.55000000000000004">
      <c r="C1074" s="7"/>
      <c r="E1074" t="s">
        <v>2327</v>
      </c>
      <c r="F1074">
        <v>3</v>
      </c>
      <c r="G1074" t="s">
        <v>2328</v>
      </c>
      <c r="H1074" t="s">
        <v>2329</v>
      </c>
      <c r="I1074" t="s">
        <v>2317</v>
      </c>
    </row>
    <row r="1075" spans="3:9" x14ac:dyDescent="0.55000000000000004">
      <c r="C1075" s="7"/>
      <c r="E1075" t="s">
        <v>2330</v>
      </c>
      <c r="F1075">
        <v>4</v>
      </c>
      <c r="G1075" t="s">
        <v>2331</v>
      </c>
      <c r="H1075" t="s">
        <v>2332</v>
      </c>
      <c r="I1075" t="s">
        <v>2317</v>
      </c>
    </row>
    <row r="1076" spans="3:9" x14ac:dyDescent="0.55000000000000004">
      <c r="C1076" s="7"/>
      <c r="E1076" t="s">
        <v>2333</v>
      </c>
      <c r="F1076">
        <v>5</v>
      </c>
      <c r="G1076" t="s">
        <v>2334</v>
      </c>
      <c r="H1076" t="s">
        <v>2335</v>
      </c>
      <c r="I1076" t="s">
        <v>2317</v>
      </c>
    </row>
    <row r="1077" spans="3:9" x14ac:dyDescent="0.55000000000000004">
      <c r="C1077" s="7"/>
      <c r="E1077" t="s">
        <v>2336</v>
      </c>
      <c r="F1077">
        <v>6</v>
      </c>
      <c r="G1077" t="s">
        <v>1139</v>
      </c>
      <c r="H1077" t="s">
        <v>2337</v>
      </c>
      <c r="I1077" t="s">
        <v>2317</v>
      </c>
    </row>
    <row r="1078" spans="3:9" x14ac:dyDescent="0.55000000000000004">
      <c r="C1078" s="7"/>
      <c r="E1078" t="s">
        <v>2338</v>
      </c>
      <c r="F1078">
        <v>7</v>
      </c>
      <c r="G1078" t="s">
        <v>2339</v>
      </c>
      <c r="H1078" t="s">
        <v>2340</v>
      </c>
      <c r="I1078" t="s">
        <v>2317</v>
      </c>
    </row>
    <row r="1079" spans="3:9" x14ac:dyDescent="0.55000000000000004">
      <c r="C1079" s="7"/>
      <c r="E1079" t="s">
        <v>2341</v>
      </c>
      <c r="F1079">
        <v>8</v>
      </c>
      <c r="G1079" t="s">
        <v>2342</v>
      </c>
      <c r="H1079" t="s">
        <v>2343</v>
      </c>
      <c r="I1079" t="s">
        <v>2317</v>
      </c>
    </row>
    <row r="1080" spans="3:9" x14ac:dyDescent="0.55000000000000004">
      <c r="C1080" s="7"/>
      <c r="E1080" t="s">
        <v>2344</v>
      </c>
      <c r="F1080">
        <v>9</v>
      </c>
      <c r="G1080" t="s">
        <v>2345</v>
      </c>
      <c r="H1080" t="s">
        <v>2346</v>
      </c>
      <c r="I1080" t="s">
        <v>2317</v>
      </c>
    </row>
    <row r="1081" spans="3:9" x14ac:dyDescent="0.55000000000000004">
      <c r="C1081" s="7"/>
      <c r="E1081" t="s">
        <v>2347</v>
      </c>
      <c r="F1081">
        <v>999</v>
      </c>
      <c r="G1081" t="s">
        <v>135</v>
      </c>
      <c r="H1081" t="s">
        <v>2348</v>
      </c>
      <c r="I1081" t="s">
        <v>2317</v>
      </c>
    </row>
    <row r="1082" spans="3:9" x14ac:dyDescent="0.55000000000000004">
      <c r="C1082" s="7"/>
      <c r="E1082" t="s">
        <v>2349</v>
      </c>
      <c r="F1082">
        <v>0</v>
      </c>
      <c r="G1082" t="s">
        <v>2350</v>
      </c>
      <c r="H1082" t="s">
        <v>2351</v>
      </c>
      <c r="I1082" t="s">
        <v>2352</v>
      </c>
    </row>
    <row r="1083" spans="3:9" x14ac:dyDescent="0.55000000000000004">
      <c r="C1083" s="7"/>
      <c r="E1083" t="s">
        <v>2353</v>
      </c>
      <c r="F1083">
        <v>0</v>
      </c>
      <c r="G1083" t="s">
        <v>2354</v>
      </c>
      <c r="H1083" t="s">
        <v>2355</v>
      </c>
      <c r="I1083" t="s">
        <v>2356</v>
      </c>
    </row>
    <row r="1084" spans="3:9" x14ac:dyDescent="0.55000000000000004">
      <c r="C1084" s="7"/>
      <c r="E1084" t="s">
        <v>2361</v>
      </c>
      <c r="F1084">
        <v>0</v>
      </c>
      <c r="G1084" t="s">
        <v>2362</v>
      </c>
      <c r="H1084" t="s">
        <v>2363</v>
      </c>
      <c r="I1084" t="s">
        <v>2364</v>
      </c>
    </row>
    <row r="1085" spans="3:9" x14ac:dyDescent="0.55000000000000004">
      <c r="C1085" s="7"/>
      <c r="E1085" t="s">
        <v>2369</v>
      </c>
      <c r="F1085">
        <v>0</v>
      </c>
      <c r="G1085" t="s">
        <v>2370</v>
      </c>
      <c r="H1085" t="s">
        <v>2371</v>
      </c>
      <c r="I1085" t="s">
        <v>2372</v>
      </c>
    </row>
    <row r="1086" spans="3:9" x14ac:dyDescent="0.55000000000000004">
      <c r="C1086" s="7"/>
      <c r="E1086" t="s">
        <v>2373</v>
      </c>
      <c r="F1086">
        <v>0</v>
      </c>
      <c r="G1086" t="s">
        <v>2374</v>
      </c>
      <c r="H1086" t="s">
        <v>2375</v>
      </c>
      <c r="I1086" t="s">
        <v>2376</v>
      </c>
    </row>
    <row r="1087" spans="3:9" x14ac:dyDescent="0.55000000000000004">
      <c r="C1087" s="7"/>
      <c r="E1087" t="s">
        <v>2377</v>
      </c>
      <c r="F1087">
        <v>0</v>
      </c>
      <c r="G1087" t="s">
        <v>2378</v>
      </c>
      <c r="H1087" t="s">
        <v>2379</v>
      </c>
      <c r="I1087" t="s">
        <v>2380</v>
      </c>
    </row>
    <row r="1088" spans="3:9" x14ac:dyDescent="0.55000000000000004">
      <c r="C1088" s="7"/>
      <c r="E1088" t="s">
        <v>2381</v>
      </c>
      <c r="F1088">
        <v>0</v>
      </c>
      <c r="G1088" t="s">
        <v>2382</v>
      </c>
      <c r="H1088" t="s">
        <v>2383</v>
      </c>
      <c r="I1088" t="s">
        <v>2384</v>
      </c>
    </row>
    <row r="1089" spans="3:9" x14ac:dyDescent="0.55000000000000004">
      <c r="C1089" s="7"/>
      <c r="E1089" t="s">
        <v>2401</v>
      </c>
      <c r="F1089">
        <v>0</v>
      </c>
      <c r="G1089" t="s">
        <v>2402</v>
      </c>
      <c r="H1089" t="s">
        <v>2403</v>
      </c>
      <c r="I1089" t="s">
        <v>2404</v>
      </c>
    </row>
    <row r="1090" spans="3:9" x14ac:dyDescent="0.55000000000000004">
      <c r="C1090" s="7"/>
      <c r="E1090" t="s">
        <v>2421</v>
      </c>
      <c r="F1090">
        <v>0</v>
      </c>
      <c r="G1090" t="s">
        <v>2422</v>
      </c>
      <c r="H1090" t="s">
        <v>2423</v>
      </c>
      <c r="I1090" t="s">
        <v>2424</v>
      </c>
    </row>
    <row r="1091" spans="3:9" x14ac:dyDescent="0.55000000000000004">
      <c r="C1091" s="7"/>
      <c r="E1091" t="s">
        <v>2425</v>
      </c>
      <c r="F1091">
        <v>0</v>
      </c>
      <c r="G1091" t="s">
        <v>2426</v>
      </c>
      <c r="H1091" t="s">
        <v>2427</v>
      </c>
      <c r="I1091" t="s">
        <v>2428</v>
      </c>
    </row>
    <row r="1092" spans="3:9" x14ac:dyDescent="0.55000000000000004">
      <c r="C1092" s="7"/>
      <c r="E1092" t="s">
        <v>2429</v>
      </c>
      <c r="F1092">
        <v>0</v>
      </c>
      <c r="G1092" t="s">
        <v>2430</v>
      </c>
      <c r="H1092" t="s">
        <v>2431</v>
      </c>
      <c r="I1092" t="s">
        <v>2432</v>
      </c>
    </row>
    <row r="1093" spans="3:9" x14ac:dyDescent="0.55000000000000004">
      <c r="C1093" s="7"/>
      <c r="E1093" t="s">
        <v>2433</v>
      </c>
      <c r="F1093">
        <v>0</v>
      </c>
      <c r="G1093" t="s">
        <v>2434</v>
      </c>
      <c r="H1093" t="s">
        <v>2435</v>
      </c>
      <c r="I1093" t="s">
        <v>2436</v>
      </c>
    </row>
    <row r="1094" spans="3:9" x14ac:dyDescent="0.55000000000000004">
      <c r="C1094" s="7"/>
      <c r="E1094" t="s">
        <v>2437</v>
      </c>
      <c r="F1094">
        <v>0</v>
      </c>
      <c r="G1094" t="s">
        <v>2438</v>
      </c>
      <c r="H1094" t="s">
        <v>2439</v>
      </c>
      <c r="I1094" t="s">
        <v>2440</v>
      </c>
    </row>
    <row r="1095" spans="3:9" x14ac:dyDescent="0.55000000000000004">
      <c r="C1095" s="7"/>
      <c r="E1095" t="s">
        <v>2441</v>
      </c>
      <c r="F1095">
        <v>0</v>
      </c>
      <c r="G1095" t="s">
        <v>2442</v>
      </c>
      <c r="H1095" t="s">
        <v>2443</v>
      </c>
      <c r="I1095" t="s">
        <v>2444</v>
      </c>
    </row>
    <row r="1096" spans="3:9" x14ac:dyDescent="0.55000000000000004">
      <c r="C1096" s="7"/>
      <c r="E1096" t="s">
        <v>2454</v>
      </c>
      <c r="F1096">
        <v>0</v>
      </c>
      <c r="G1096" t="s">
        <v>2449</v>
      </c>
      <c r="H1096" t="s">
        <v>2455</v>
      </c>
      <c r="I1096" t="s">
        <v>2456</v>
      </c>
    </row>
    <row r="1097" spans="3:9" x14ac:dyDescent="0.55000000000000004">
      <c r="C1097" s="7"/>
      <c r="E1097" t="s">
        <v>2457</v>
      </c>
      <c r="F1097">
        <v>0</v>
      </c>
      <c r="G1097" t="s">
        <v>2458</v>
      </c>
      <c r="H1097" t="s">
        <v>2459</v>
      </c>
      <c r="I1097" t="s">
        <v>2460</v>
      </c>
    </row>
    <row r="1098" spans="3:9" x14ac:dyDescent="0.55000000000000004">
      <c r="C1098" s="7"/>
      <c r="E1098" t="s">
        <v>2465</v>
      </c>
      <c r="F1098">
        <v>0</v>
      </c>
      <c r="G1098" t="s">
        <v>2466</v>
      </c>
      <c r="H1098" t="s">
        <v>2467</v>
      </c>
      <c r="I1098" t="s">
        <v>2468</v>
      </c>
    </row>
    <row r="1099" spans="3:9" x14ac:dyDescent="0.55000000000000004">
      <c r="C1099" s="7"/>
      <c r="E1099" t="s">
        <v>2473</v>
      </c>
      <c r="F1099">
        <v>0</v>
      </c>
      <c r="G1099" t="s">
        <v>2474</v>
      </c>
      <c r="H1099" t="s">
        <v>2475</v>
      </c>
      <c r="I1099" t="s">
        <v>2476</v>
      </c>
    </row>
    <row r="1100" spans="3:9" x14ac:dyDescent="0.55000000000000004">
      <c r="C1100" s="7"/>
      <c r="E1100" t="s">
        <v>2477</v>
      </c>
      <c r="F1100">
        <v>0</v>
      </c>
      <c r="G1100" t="s">
        <v>2478</v>
      </c>
      <c r="H1100" t="s">
        <v>2479</v>
      </c>
      <c r="I1100" t="s">
        <v>2480</v>
      </c>
    </row>
    <row r="1101" spans="3:9" x14ac:dyDescent="0.55000000000000004">
      <c r="C1101" s="7"/>
      <c r="E1101" t="s">
        <v>2485</v>
      </c>
      <c r="F1101">
        <v>0</v>
      </c>
      <c r="G1101" t="s">
        <v>2486</v>
      </c>
      <c r="H1101" t="s">
        <v>2487</v>
      </c>
      <c r="I1101" t="s">
        <v>2488</v>
      </c>
    </row>
    <row r="1102" spans="3:9" x14ac:dyDescent="0.55000000000000004">
      <c r="C1102" s="7"/>
      <c r="E1102" t="s">
        <v>2489</v>
      </c>
      <c r="F1102">
        <v>0</v>
      </c>
      <c r="G1102" t="s">
        <v>1274</v>
      </c>
      <c r="H1102" t="s">
        <v>2490</v>
      </c>
      <c r="I1102" t="s">
        <v>2491</v>
      </c>
    </row>
    <row r="1103" spans="3:9" x14ac:dyDescent="0.55000000000000004">
      <c r="C1103" s="7"/>
      <c r="E1103" t="s">
        <v>2496</v>
      </c>
      <c r="F1103">
        <v>0</v>
      </c>
      <c r="G1103" t="s">
        <v>2497</v>
      </c>
      <c r="H1103" t="s">
        <v>2498</v>
      </c>
      <c r="I1103" t="s">
        <v>2499</v>
      </c>
    </row>
    <row r="1104" spans="3:9" x14ac:dyDescent="0.55000000000000004">
      <c r="C1104" s="7"/>
      <c r="E1104" t="s">
        <v>2520</v>
      </c>
      <c r="F1104">
        <v>0</v>
      </c>
      <c r="G1104" t="s">
        <v>2521</v>
      </c>
      <c r="H1104" t="s">
        <v>2522</v>
      </c>
      <c r="I1104" t="s">
        <v>2523</v>
      </c>
    </row>
    <row r="1105" spans="3:9" x14ac:dyDescent="0.55000000000000004">
      <c r="C1105" s="7"/>
      <c r="E1105" t="s">
        <v>2532</v>
      </c>
      <c r="F1105">
        <v>0</v>
      </c>
      <c r="G1105" t="s">
        <v>2533</v>
      </c>
      <c r="H1105" t="s">
        <v>2534</v>
      </c>
      <c r="I1105" t="s">
        <v>2535</v>
      </c>
    </row>
    <row r="1106" spans="3:9" x14ac:dyDescent="0.55000000000000004">
      <c r="C1106" s="7"/>
      <c r="E1106" t="s">
        <v>2552</v>
      </c>
      <c r="F1106">
        <v>0</v>
      </c>
      <c r="G1106" t="s">
        <v>2553</v>
      </c>
      <c r="H1106" t="s">
        <v>2554</v>
      </c>
      <c r="I1106" t="s">
        <v>2555</v>
      </c>
    </row>
    <row r="1107" spans="3:9" x14ac:dyDescent="0.55000000000000004">
      <c r="C1107" s="7"/>
      <c r="E1107" t="s">
        <v>2556</v>
      </c>
      <c r="F1107">
        <v>0</v>
      </c>
      <c r="G1107" t="s">
        <v>2557</v>
      </c>
      <c r="H1107" t="s">
        <v>2558</v>
      </c>
      <c r="I1107" t="s">
        <v>2559</v>
      </c>
    </row>
    <row r="1108" spans="3:9" x14ac:dyDescent="0.55000000000000004">
      <c r="C1108" s="7"/>
      <c r="E1108" t="s">
        <v>2568</v>
      </c>
      <c r="F1108">
        <v>0</v>
      </c>
      <c r="G1108" t="s">
        <v>2569</v>
      </c>
      <c r="H1108" t="s">
        <v>2570</v>
      </c>
      <c r="I1108" t="s">
        <v>2571</v>
      </c>
    </row>
    <row r="1109" spans="3:9" x14ac:dyDescent="0.55000000000000004">
      <c r="C1109" s="7"/>
      <c r="E1109" t="s">
        <v>2572</v>
      </c>
      <c r="F1109">
        <v>0</v>
      </c>
      <c r="G1109" t="s">
        <v>2573</v>
      </c>
      <c r="H1109" t="s">
        <v>2574</v>
      </c>
      <c r="I1109" t="s">
        <v>2575</v>
      </c>
    </row>
    <row r="1110" spans="3:9" x14ac:dyDescent="0.55000000000000004">
      <c r="C1110" s="7"/>
      <c r="E1110" t="s">
        <v>2584</v>
      </c>
      <c r="F1110">
        <v>0</v>
      </c>
      <c r="G1110" t="s">
        <v>2585</v>
      </c>
      <c r="H1110" t="s">
        <v>2586</v>
      </c>
      <c r="I1110" t="s">
        <v>2587</v>
      </c>
    </row>
    <row r="1111" spans="3:9" x14ac:dyDescent="0.55000000000000004">
      <c r="C1111" s="7"/>
      <c r="E1111" t="s">
        <v>2592</v>
      </c>
      <c r="F1111">
        <v>0</v>
      </c>
      <c r="G1111" t="s">
        <v>2593</v>
      </c>
      <c r="H1111" t="s">
        <v>2594</v>
      </c>
      <c r="I1111" t="s">
        <v>2595</v>
      </c>
    </row>
    <row r="1112" spans="3:9" x14ac:dyDescent="0.55000000000000004">
      <c r="C1112" s="7"/>
      <c r="E1112" t="s">
        <v>2604</v>
      </c>
      <c r="F1112">
        <v>0</v>
      </c>
      <c r="G1112" t="s">
        <v>2605</v>
      </c>
      <c r="H1112" t="s">
        <v>2606</v>
      </c>
      <c r="I1112" t="s">
        <v>2607</v>
      </c>
    </row>
    <row r="1113" spans="3:9" x14ac:dyDescent="0.55000000000000004">
      <c r="C1113" s="7"/>
      <c r="E1113" t="s">
        <v>2632</v>
      </c>
      <c r="F1113">
        <v>0</v>
      </c>
      <c r="G1113" t="s">
        <v>2629</v>
      </c>
      <c r="H1113" t="s">
        <v>2633</v>
      </c>
      <c r="I1113" t="s">
        <v>2634</v>
      </c>
    </row>
    <row r="1114" spans="3:9" x14ac:dyDescent="0.55000000000000004">
      <c r="C1114" s="7"/>
      <c r="E1114" t="s">
        <v>2635</v>
      </c>
      <c r="F1114">
        <v>0</v>
      </c>
      <c r="G1114" t="s">
        <v>2636</v>
      </c>
      <c r="H1114" t="s">
        <v>2637</v>
      </c>
      <c r="I1114" t="s">
        <v>2638</v>
      </c>
    </row>
    <row r="1115" spans="3:9" x14ac:dyDescent="0.55000000000000004">
      <c r="C1115" s="7"/>
      <c r="E1115" t="s">
        <v>2639</v>
      </c>
      <c r="F1115">
        <v>0</v>
      </c>
      <c r="G1115" t="s">
        <v>2640</v>
      </c>
      <c r="H1115" t="s">
        <v>2641</v>
      </c>
      <c r="I1115" t="s">
        <v>2642</v>
      </c>
    </row>
    <row r="1116" spans="3:9" x14ac:dyDescent="0.55000000000000004">
      <c r="C1116" s="7"/>
      <c r="E1116" t="s">
        <v>2643</v>
      </c>
      <c r="F1116">
        <v>0</v>
      </c>
      <c r="G1116" t="s">
        <v>2644</v>
      </c>
      <c r="H1116" t="s">
        <v>2645</v>
      </c>
      <c r="I1116" t="s">
        <v>2646</v>
      </c>
    </row>
    <row r="1117" spans="3:9" x14ac:dyDescent="0.55000000000000004">
      <c r="C1117" s="7"/>
      <c r="E1117" t="s">
        <v>2655</v>
      </c>
      <c r="F1117">
        <v>0</v>
      </c>
      <c r="G1117" t="s">
        <v>2656</v>
      </c>
      <c r="H1117" t="s">
        <v>2657</v>
      </c>
      <c r="I1117" t="s">
        <v>2658</v>
      </c>
    </row>
    <row r="1118" spans="3:9" x14ac:dyDescent="0.55000000000000004">
      <c r="C1118" s="7"/>
      <c r="E1118" t="s">
        <v>2659</v>
      </c>
      <c r="F1118">
        <v>0</v>
      </c>
      <c r="G1118" t="s">
        <v>2660</v>
      </c>
      <c r="H1118" t="s">
        <v>2661</v>
      </c>
      <c r="I1118" t="s">
        <v>2662</v>
      </c>
    </row>
    <row r="1119" spans="3:9" x14ac:dyDescent="0.55000000000000004">
      <c r="C1119" s="7"/>
      <c r="E1119" t="s">
        <v>2663</v>
      </c>
      <c r="F1119">
        <v>0</v>
      </c>
      <c r="G1119" t="s">
        <v>2664</v>
      </c>
      <c r="H1119" t="s">
        <v>2665</v>
      </c>
      <c r="I1119" t="s">
        <v>2666</v>
      </c>
    </row>
    <row r="1120" spans="3:9" x14ac:dyDescent="0.55000000000000004">
      <c r="C1120" s="7"/>
      <c r="E1120" t="s">
        <v>2667</v>
      </c>
      <c r="F1120">
        <v>0</v>
      </c>
      <c r="G1120" t="s">
        <v>2668</v>
      </c>
      <c r="H1120" t="s">
        <v>2669</v>
      </c>
      <c r="I1120" t="s">
        <v>2670</v>
      </c>
    </row>
    <row r="1121" spans="3:9" x14ac:dyDescent="0.55000000000000004">
      <c r="C1121" s="7"/>
      <c r="E1121" t="s">
        <v>2679</v>
      </c>
      <c r="F1121">
        <v>0</v>
      </c>
      <c r="G1121" t="s">
        <v>2680</v>
      </c>
      <c r="H1121" t="s">
        <v>2681</v>
      </c>
      <c r="I1121" t="s">
        <v>2682</v>
      </c>
    </row>
    <row r="1122" spans="3:9" x14ac:dyDescent="0.55000000000000004">
      <c r="C1122" s="7"/>
      <c r="E1122" t="s">
        <v>2683</v>
      </c>
      <c r="F1122">
        <v>0</v>
      </c>
      <c r="G1122" t="s">
        <v>2684</v>
      </c>
      <c r="H1122" t="s">
        <v>2685</v>
      </c>
      <c r="I1122" t="s">
        <v>2686</v>
      </c>
    </row>
    <row r="1123" spans="3:9" x14ac:dyDescent="0.55000000000000004">
      <c r="C1123" s="7"/>
      <c r="E1123" t="s">
        <v>2687</v>
      </c>
      <c r="F1123">
        <v>0</v>
      </c>
      <c r="G1123" t="s">
        <v>2688</v>
      </c>
      <c r="H1123" t="s">
        <v>2689</v>
      </c>
      <c r="I1123" t="s">
        <v>2690</v>
      </c>
    </row>
    <row r="1124" spans="3:9" x14ac:dyDescent="0.55000000000000004">
      <c r="C1124" s="7"/>
      <c r="E1124" t="s">
        <v>2711</v>
      </c>
      <c r="F1124">
        <v>0</v>
      </c>
      <c r="G1124" t="s">
        <v>2712</v>
      </c>
      <c r="H1124" t="s">
        <v>2713</v>
      </c>
      <c r="I1124" t="s">
        <v>2714</v>
      </c>
    </row>
    <row r="1125" spans="3:9" x14ac:dyDescent="0.55000000000000004">
      <c r="C1125" s="7"/>
      <c r="E1125" t="s">
        <v>2715</v>
      </c>
      <c r="F1125">
        <v>0</v>
      </c>
      <c r="G1125" t="s">
        <v>2716</v>
      </c>
      <c r="H1125" t="s">
        <v>2717</v>
      </c>
      <c r="I1125" t="s">
        <v>2718</v>
      </c>
    </row>
    <row r="1126" spans="3:9" x14ac:dyDescent="0.55000000000000004">
      <c r="C1126" s="7"/>
      <c r="E1126" t="s">
        <v>2719</v>
      </c>
      <c r="F1126">
        <v>0</v>
      </c>
      <c r="G1126" t="s">
        <v>2720</v>
      </c>
      <c r="H1126" t="s">
        <v>2721</v>
      </c>
      <c r="I1126" t="s">
        <v>2722</v>
      </c>
    </row>
    <row r="1127" spans="3:9" x14ac:dyDescent="0.55000000000000004">
      <c r="C1127" s="7"/>
      <c r="E1127" t="s">
        <v>2723</v>
      </c>
      <c r="F1127">
        <v>0</v>
      </c>
      <c r="G1127" t="s">
        <v>2724</v>
      </c>
      <c r="H1127" t="s">
        <v>2725</v>
      </c>
      <c r="I1127" t="s">
        <v>2726</v>
      </c>
    </row>
    <row r="1128" spans="3:9" x14ac:dyDescent="0.55000000000000004">
      <c r="C1128" s="7"/>
      <c r="E1128" t="s">
        <v>2731</v>
      </c>
      <c r="F1128">
        <v>0</v>
      </c>
      <c r="G1128" t="s">
        <v>1491</v>
      </c>
      <c r="H1128" t="s">
        <v>2732</v>
      </c>
      <c r="I1128" t="s">
        <v>2733</v>
      </c>
    </row>
    <row r="1129" spans="3:9" x14ac:dyDescent="0.55000000000000004">
      <c r="C1129" s="7"/>
      <c r="E1129" t="s">
        <v>2734</v>
      </c>
      <c r="F1129">
        <v>0</v>
      </c>
      <c r="G1129" t="s">
        <v>2735</v>
      </c>
      <c r="H1129" t="s">
        <v>2736</v>
      </c>
      <c r="I1129" t="s">
        <v>2737</v>
      </c>
    </row>
    <row r="1130" spans="3:9" x14ac:dyDescent="0.55000000000000004">
      <c r="C1130" s="7"/>
      <c r="E1130" t="s">
        <v>2738</v>
      </c>
      <c r="F1130">
        <v>0</v>
      </c>
      <c r="G1130" t="s">
        <v>2739</v>
      </c>
      <c r="H1130" t="s">
        <v>2740</v>
      </c>
      <c r="I1130" t="s">
        <v>2741</v>
      </c>
    </row>
    <row r="1131" spans="3:9" x14ac:dyDescent="0.55000000000000004">
      <c r="C1131" s="7"/>
      <c r="E1131" t="s">
        <v>2762</v>
      </c>
      <c r="F1131">
        <v>0</v>
      </c>
      <c r="G1131" t="s">
        <v>2763</v>
      </c>
      <c r="H1131" t="s">
        <v>2764</v>
      </c>
      <c r="I1131" t="s">
        <v>2765</v>
      </c>
    </row>
    <row r="1132" spans="3:9" x14ac:dyDescent="0.55000000000000004">
      <c r="C1132" s="7"/>
      <c r="E1132" t="s">
        <v>2806</v>
      </c>
      <c r="F1132">
        <v>0</v>
      </c>
      <c r="G1132" t="s">
        <v>2807</v>
      </c>
      <c r="H1132" t="s">
        <v>2808</v>
      </c>
      <c r="I1132" t="s">
        <v>2809</v>
      </c>
    </row>
    <row r="1133" spans="3:9" x14ac:dyDescent="0.55000000000000004">
      <c r="C1133" s="7"/>
      <c r="E1133" t="s">
        <v>2814</v>
      </c>
      <c r="F1133">
        <v>0</v>
      </c>
      <c r="G1133" t="s">
        <v>2815</v>
      </c>
      <c r="H1133" t="s">
        <v>2816</v>
      </c>
      <c r="I1133" t="s">
        <v>2817</v>
      </c>
    </row>
    <row r="1134" spans="3:9" x14ac:dyDescent="0.55000000000000004">
      <c r="C1134" s="7"/>
      <c r="E1134" t="s">
        <v>2818</v>
      </c>
      <c r="F1134">
        <v>0</v>
      </c>
      <c r="G1134" t="s">
        <v>2819</v>
      </c>
      <c r="H1134" t="s">
        <v>2820</v>
      </c>
      <c r="I1134" t="s">
        <v>2821</v>
      </c>
    </row>
    <row r="1135" spans="3:9" x14ac:dyDescent="0.55000000000000004">
      <c r="C1135" s="7"/>
      <c r="E1135" t="s">
        <v>2822</v>
      </c>
      <c r="F1135">
        <v>0</v>
      </c>
      <c r="G1135" t="s">
        <v>2823</v>
      </c>
      <c r="H1135" t="s">
        <v>2824</v>
      </c>
      <c r="I1135" t="s">
        <v>2825</v>
      </c>
    </row>
    <row r="1136" spans="3:9" x14ac:dyDescent="0.55000000000000004">
      <c r="C1136" s="7"/>
      <c r="E1136" t="s">
        <v>2830</v>
      </c>
      <c r="F1136">
        <v>0</v>
      </c>
      <c r="G1136" t="s">
        <v>2831</v>
      </c>
      <c r="H1136" t="s">
        <v>2832</v>
      </c>
      <c r="I1136" t="s">
        <v>2833</v>
      </c>
    </row>
    <row r="1137" spans="3:9" x14ac:dyDescent="0.55000000000000004">
      <c r="C1137" s="7"/>
      <c r="E1137" t="s">
        <v>2834</v>
      </c>
      <c r="F1137">
        <v>0</v>
      </c>
      <c r="G1137" t="s">
        <v>2835</v>
      </c>
      <c r="H1137" t="s">
        <v>2836</v>
      </c>
      <c r="I1137" t="s">
        <v>2837</v>
      </c>
    </row>
    <row r="1138" spans="3:9" x14ac:dyDescent="0.55000000000000004">
      <c r="C1138" s="7"/>
      <c r="E1138" t="s">
        <v>2838</v>
      </c>
      <c r="F1138">
        <v>0</v>
      </c>
      <c r="G1138" t="s">
        <v>2839</v>
      </c>
      <c r="H1138" t="s">
        <v>2840</v>
      </c>
      <c r="I1138" t="s">
        <v>2841</v>
      </c>
    </row>
    <row r="1139" spans="3:9" x14ac:dyDescent="0.55000000000000004">
      <c r="C1139" s="7"/>
      <c r="E1139" t="s">
        <v>2846</v>
      </c>
      <c r="F1139">
        <v>0</v>
      </c>
      <c r="G1139" t="s">
        <v>2847</v>
      </c>
      <c r="H1139" t="s">
        <v>2848</v>
      </c>
      <c r="I1139" t="s">
        <v>2849</v>
      </c>
    </row>
    <row r="1140" spans="3:9" x14ac:dyDescent="0.55000000000000004">
      <c r="C1140" s="7"/>
      <c r="E1140" t="s">
        <v>2850</v>
      </c>
      <c r="F1140">
        <v>0</v>
      </c>
      <c r="G1140" t="s">
        <v>2851</v>
      </c>
      <c r="H1140" t="s">
        <v>2852</v>
      </c>
      <c r="I1140" t="s">
        <v>2853</v>
      </c>
    </row>
    <row r="1141" spans="3:9" x14ac:dyDescent="0.55000000000000004">
      <c r="C1141" s="7"/>
      <c r="E1141" t="s">
        <v>2854</v>
      </c>
      <c r="F1141">
        <v>0</v>
      </c>
      <c r="G1141" t="s">
        <v>2855</v>
      </c>
      <c r="H1141" t="s">
        <v>2856</v>
      </c>
      <c r="I1141" t="s">
        <v>2857</v>
      </c>
    </row>
    <row r="1142" spans="3:9" x14ac:dyDescent="0.55000000000000004">
      <c r="C1142" s="7"/>
      <c r="E1142" t="s">
        <v>2860</v>
      </c>
      <c r="F1142">
        <v>0</v>
      </c>
      <c r="G1142" t="s">
        <v>2858</v>
      </c>
      <c r="H1142" t="s">
        <v>2861</v>
      </c>
      <c r="I1142" t="s">
        <v>2859</v>
      </c>
    </row>
    <row r="1143" spans="3:9" x14ac:dyDescent="0.55000000000000004">
      <c r="C1143" s="7"/>
      <c r="E1143" t="s">
        <v>2862</v>
      </c>
      <c r="F1143">
        <v>1</v>
      </c>
      <c r="G1143" t="s">
        <v>2863</v>
      </c>
      <c r="H1143" t="s">
        <v>2864</v>
      </c>
      <c r="I1143" t="s">
        <v>2859</v>
      </c>
    </row>
    <row r="1144" spans="3:9" x14ac:dyDescent="0.55000000000000004">
      <c r="C1144" s="7"/>
      <c r="E1144" t="s">
        <v>2865</v>
      </c>
      <c r="F1144">
        <v>2</v>
      </c>
      <c r="G1144" t="s">
        <v>2866</v>
      </c>
      <c r="H1144" t="s">
        <v>2867</v>
      </c>
      <c r="I1144" t="s">
        <v>2859</v>
      </c>
    </row>
    <row r="1145" spans="3:9" x14ac:dyDescent="0.55000000000000004">
      <c r="C1145" s="7"/>
      <c r="E1145" t="s">
        <v>2872</v>
      </c>
      <c r="F1145">
        <v>0</v>
      </c>
      <c r="G1145" t="s">
        <v>2873</v>
      </c>
      <c r="H1145" t="s">
        <v>2874</v>
      </c>
      <c r="I1145" t="s">
        <v>2875</v>
      </c>
    </row>
    <row r="1146" spans="3:9" x14ac:dyDescent="0.55000000000000004">
      <c r="C1146" s="7"/>
      <c r="E1146" t="s">
        <v>2880</v>
      </c>
      <c r="F1146">
        <v>0</v>
      </c>
      <c r="G1146" t="s">
        <v>2881</v>
      </c>
      <c r="H1146" t="s">
        <v>2882</v>
      </c>
      <c r="I1146" t="s">
        <v>2883</v>
      </c>
    </row>
    <row r="1147" spans="3:9" x14ac:dyDescent="0.55000000000000004">
      <c r="C1147" s="7"/>
      <c r="E1147" t="s">
        <v>2884</v>
      </c>
      <c r="F1147">
        <v>0</v>
      </c>
      <c r="G1147" t="s">
        <v>2885</v>
      </c>
      <c r="H1147" t="s">
        <v>2886</v>
      </c>
      <c r="I1147" t="s">
        <v>2887</v>
      </c>
    </row>
    <row r="1148" spans="3:9" x14ac:dyDescent="0.55000000000000004">
      <c r="C1148" s="7"/>
      <c r="E1148" t="s">
        <v>2888</v>
      </c>
      <c r="F1148">
        <v>0</v>
      </c>
      <c r="G1148" t="s">
        <v>2889</v>
      </c>
      <c r="H1148" t="s">
        <v>2890</v>
      </c>
      <c r="I1148" t="s">
        <v>2891</v>
      </c>
    </row>
    <row r="1149" spans="3:9" x14ac:dyDescent="0.55000000000000004">
      <c r="C1149" s="7"/>
      <c r="E1149" t="s">
        <v>2892</v>
      </c>
      <c r="F1149">
        <v>0</v>
      </c>
      <c r="G1149" t="s">
        <v>2885</v>
      </c>
      <c r="H1149" t="s">
        <v>2893</v>
      </c>
      <c r="I1149" t="s">
        <v>2894</v>
      </c>
    </row>
    <row r="1150" spans="3:9" x14ac:dyDescent="0.55000000000000004">
      <c r="C1150" s="7"/>
      <c r="E1150" t="s">
        <v>2895</v>
      </c>
      <c r="F1150">
        <v>0</v>
      </c>
      <c r="G1150" t="s">
        <v>2896</v>
      </c>
      <c r="H1150" t="s">
        <v>2897</v>
      </c>
      <c r="I1150" t="s">
        <v>2898</v>
      </c>
    </row>
    <row r="1151" spans="3:9" x14ac:dyDescent="0.55000000000000004">
      <c r="C1151" s="7"/>
      <c r="E1151" t="s">
        <v>2903</v>
      </c>
      <c r="F1151">
        <v>0</v>
      </c>
      <c r="G1151" t="s">
        <v>2904</v>
      </c>
      <c r="H1151" t="s">
        <v>2905</v>
      </c>
      <c r="I1151" t="s">
        <v>2906</v>
      </c>
    </row>
    <row r="1152" spans="3:9" x14ac:dyDescent="0.55000000000000004">
      <c r="C1152" s="7"/>
      <c r="E1152" t="s">
        <v>2907</v>
      </c>
      <c r="F1152">
        <v>0</v>
      </c>
      <c r="G1152" t="s">
        <v>2908</v>
      </c>
      <c r="H1152" t="s">
        <v>2909</v>
      </c>
      <c r="I1152" t="s">
        <v>2910</v>
      </c>
    </row>
    <row r="1153" spans="3:9" x14ac:dyDescent="0.55000000000000004">
      <c r="C1153" s="7"/>
      <c r="E1153" t="s">
        <v>2911</v>
      </c>
      <c r="F1153">
        <v>0</v>
      </c>
      <c r="G1153" t="s">
        <v>2912</v>
      </c>
      <c r="H1153" t="s">
        <v>2913</v>
      </c>
      <c r="I1153" t="s">
        <v>2914</v>
      </c>
    </row>
    <row r="1154" spans="3:9" x14ac:dyDescent="0.55000000000000004">
      <c r="C1154" s="7"/>
      <c r="E1154" t="s">
        <v>2926</v>
      </c>
      <c r="F1154">
        <v>0</v>
      </c>
      <c r="G1154" t="s">
        <v>2927</v>
      </c>
      <c r="H1154" t="s">
        <v>2928</v>
      </c>
      <c r="I1154" t="s">
        <v>2929</v>
      </c>
    </row>
    <row r="1155" spans="3:9" x14ac:dyDescent="0.55000000000000004">
      <c r="C1155" s="7"/>
      <c r="E1155" t="s">
        <v>2950</v>
      </c>
      <c r="F1155">
        <v>0</v>
      </c>
      <c r="G1155" t="s">
        <v>2951</v>
      </c>
      <c r="H1155" t="s">
        <v>2952</v>
      </c>
      <c r="I1155" t="s">
        <v>2953</v>
      </c>
    </row>
    <row r="1156" spans="3:9" x14ac:dyDescent="0.55000000000000004">
      <c r="C1156" s="7"/>
      <c r="E1156" t="s">
        <v>2962</v>
      </c>
      <c r="F1156">
        <v>0</v>
      </c>
      <c r="G1156" t="s">
        <v>2963</v>
      </c>
      <c r="H1156" t="s">
        <v>2964</v>
      </c>
      <c r="I1156" t="s">
        <v>2965</v>
      </c>
    </row>
    <row r="1157" spans="3:9" x14ac:dyDescent="0.55000000000000004">
      <c r="C1157" s="7"/>
      <c r="E1157" t="s">
        <v>2970</v>
      </c>
      <c r="F1157">
        <v>0</v>
      </c>
      <c r="G1157" t="s">
        <v>2971</v>
      </c>
      <c r="H1157" t="s">
        <v>2972</v>
      </c>
      <c r="I1157" t="s">
        <v>2973</v>
      </c>
    </row>
    <row r="1158" spans="3:9" x14ac:dyDescent="0.55000000000000004">
      <c r="C1158" s="7"/>
      <c r="E1158" t="s">
        <v>2978</v>
      </c>
      <c r="F1158">
        <v>0</v>
      </c>
      <c r="G1158" t="s">
        <v>2979</v>
      </c>
      <c r="H1158" t="s">
        <v>2980</v>
      </c>
      <c r="I1158" t="s">
        <v>2981</v>
      </c>
    </row>
    <row r="1159" spans="3:9" x14ac:dyDescent="0.55000000000000004">
      <c r="C1159" s="7"/>
      <c r="E1159" t="s">
        <v>2990</v>
      </c>
      <c r="F1159">
        <v>0</v>
      </c>
      <c r="G1159" t="s">
        <v>2991</v>
      </c>
      <c r="H1159" t="s">
        <v>2992</v>
      </c>
      <c r="I1159" t="s">
        <v>2993</v>
      </c>
    </row>
    <row r="1160" spans="3:9" x14ac:dyDescent="0.55000000000000004">
      <c r="C1160" s="7"/>
      <c r="E1160" t="s">
        <v>2994</v>
      </c>
      <c r="F1160">
        <v>0</v>
      </c>
      <c r="G1160" t="s">
        <v>2995</v>
      </c>
      <c r="H1160" t="s">
        <v>2996</v>
      </c>
      <c r="I1160" t="s">
        <v>2997</v>
      </c>
    </row>
    <row r="1161" spans="3:9" x14ac:dyDescent="0.55000000000000004">
      <c r="C1161" s="7"/>
      <c r="E1161" t="s">
        <v>3002</v>
      </c>
      <c r="F1161">
        <v>0</v>
      </c>
      <c r="G1161" t="s">
        <v>3003</v>
      </c>
      <c r="H1161" t="s">
        <v>3004</v>
      </c>
      <c r="I1161" t="s">
        <v>3005</v>
      </c>
    </row>
    <row r="1162" spans="3:9" x14ac:dyDescent="0.55000000000000004">
      <c r="C1162" s="7"/>
      <c r="E1162" t="s">
        <v>3006</v>
      </c>
      <c r="F1162">
        <v>0</v>
      </c>
      <c r="G1162" t="s">
        <v>3007</v>
      </c>
      <c r="H1162" t="s">
        <v>3008</v>
      </c>
      <c r="I1162" t="s">
        <v>3009</v>
      </c>
    </row>
    <row r="1163" spans="3:9" x14ac:dyDescent="0.55000000000000004">
      <c r="C1163" s="7"/>
      <c r="E1163" t="s">
        <v>3010</v>
      </c>
      <c r="F1163">
        <v>0</v>
      </c>
      <c r="G1163" t="s">
        <v>3011</v>
      </c>
      <c r="H1163" t="s">
        <v>3012</v>
      </c>
      <c r="I1163" t="s">
        <v>3013</v>
      </c>
    </row>
    <row r="1164" spans="3:9" x14ac:dyDescent="0.55000000000000004">
      <c r="C1164" s="7"/>
      <c r="E1164" t="s">
        <v>3014</v>
      </c>
      <c r="F1164">
        <v>0</v>
      </c>
      <c r="G1164" t="s">
        <v>3015</v>
      </c>
      <c r="H1164" t="s">
        <v>3016</v>
      </c>
      <c r="I1164" t="s">
        <v>3017</v>
      </c>
    </row>
    <row r="1165" spans="3:9" x14ac:dyDescent="0.55000000000000004">
      <c r="C1165" s="7"/>
      <c r="E1165" t="s">
        <v>3018</v>
      </c>
      <c r="F1165">
        <v>0</v>
      </c>
      <c r="G1165" t="s">
        <v>3019</v>
      </c>
      <c r="H1165" t="s">
        <v>3020</v>
      </c>
      <c r="I1165" t="s">
        <v>3021</v>
      </c>
    </row>
    <row r="1166" spans="3:9" x14ac:dyDescent="0.55000000000000004">
      <c r="C1166" s="7"/>
      <c r="E1166" t="s">
        <v>3022</v>
      </c>
      <c r="F1166">
        <v>0</v>
      </c>
      <c r="G1166" t="s">
        <v>3023</v>
      </c>
      <c r="H1166" t="s">
        <v>3024</v>
      </c>
      <c r="I1166" t="s">
        <v>3025</v>
      </c>
    </row>
    <row r="1167" spans="3:9" x14ac:dyDescent="0.55000000000000004">
      <c r="E1167" t="s">
        <v>3055</v>
      </c>
      <c r="F1167">
        <v>0</v>
      </c>
      <c r="G1167" t="s">
        <v>3056</v>
      </c>
      <c r="H1167" t="s">
        <v>3057</v>
      </c>
      <c r="I1167" t="s">
        <v>3058</v>
      </c>
    </row>
    <row r="1168" spans="3:9" x14ac:dyDescent="0.55000000000000004">
      <c r="C1168" s="7"/>
      <c r="E1168" t="s">
        <v>3063</v>
      </c>
      <c r="F1168">
        <v>0</v>
      </c>
      <c r="G1168" t="s">
        <v>3064</v>
      </c>
      <c r="H1168" t="s">
        <v>3065</v>
      </c>
      <c r="I1168" t="s">
        <v>3066</v>
      </c>
    </row>
    <row r="1169" spans="3:9" x14ac:dyDescent="0.55000000000000004">
      <c r="C1169" s="7"/>
      <c r="E1169" t="s">
        <v>3071</v>
      </c>
      <c r="F1169">
        <v>0</v>
      </c>
      <c r="G1169" t="s">
        <v>3072</v>
      </c>
      <c r="H1169" t="s">
        <v>3073</v>
      </c>
      <c r="I1169" t="s">
        <v>3074</v>
      </c>
    </row>
    <row r="1170" spans="3:9" x14ac:dyDescent="0.55000000000000004">
      <c r="C1170" s="7"/>
      <c r="E1170" t="s">
        <v>3075</v>
      </c>
      <c r="F1170">
        <v>0</v>
      </c>
      <c r="G1170" t="s">
        <v>3076</v>
      </c>
      <c r="H1170" t="s">
        <v>3077</v>
      </c>
      <c r="I1170" t="s">
        <v>3078</v>
      </c>
    </row>
    <row r="1171" spans="3:9" x14ac:dyDescent="0.55000000000000004">
      <c r="C1171" s="7"/>
      <c r="E1171" t="s">
        <v>3079</v>
      </c>
      <c r="F1171">
        <v>0</v>
      </c>
      <c r="G1171" t="s">
        <v>3080</v>
      </c>
      <c r="H1171" t="s">
        <v>3081</v>
      </c>
      <c r="I1171" t="s">
        <v>3082</v>
      </c>
    </row>
    <row r="1172" spans="3:9" x14ac:dyDescent="0.55000000000000004">
      <c r="C1172" s="7"/>
      <c r="E1172" t="s">
        <v>3083</v>
      </c>
      <c r="F1172">
        <v>0</v>
      </c>
      <c r="G1172" t="s">
        <v>3084</v>
      </c>
      <c r="H1172" t="s">
        <v>3085</v>
      </c>
      <c r="I1172" t="s">
        <v>3086</v>
      </c>
    </row>
    <row r="1173" spans="3:9" x14ac:dyDescent="0.55000000000000004">
      <c r="C1173" s="7"/>
      <c r="E1173" t="s">
        <v>3091</v>
      </c>
      <c r="F1173">
        <v>0</v>
      </c>
      <c r="G1173" t="s">
        <v>3092</v>
      </c>
      <c r="H1173" t="s">
        <v>3093</v>
      </c>
      <c r="I1173" t="s">
        <v>3094</v>
      </c>
    </row>
    <row r="1174" spans="3:9" x14ac:dyDescent="0.55000000000000004">
      <c r="C1174" s="7"/>
      <c r="E1174" t="s">
        <v>3100</v>
      </c>
      <c r="F1174">
        <v>11</v>
      </c>
      <c r="G1174" t="s">
        <v>3101</v>
      </c>
      <c r="H1174" t="s">
        <v>3102</v>
      </c>
      <c r="I1174" t="s">
        <v>3096</v>
      </c>
    </row>
    <row r="1175" spans="3:9" x14ac:dyDescent="0.55000000000000004">
      <c r="C1175" s="7"/>
      <c r="E1175" t="s">
        <v>3103</v>
      </c>
      <c r="F1175">
        <v>12</v>
      </c>
      <c r="G1175" t="s">
        <v>3104</v>
      </c>
      <c r="H1175" t="s">
        <v>3105</v>
      </c>
      <c r="I1175" t="s">
        <v>3096</v>
      </c>
    </row>
    <row r="1176" spans="3:9" x14ac:dyDescent="0.55000000000000004">
      <c r="C1176" s="7"/>
      <c r="E1176" t="s">
        <v>3106</v>
      </c>
      <c r="F1176">
        <v>16</v>
      </c>
      <c r="G1176" t="s">
        <v>3107</v>
      </c>
      <c r="H1176" t="s">
        <v>3108</v>
      </c>
      <c r="I1176" t="s">
        <v>3096</v>
      </c>
    </row>
    <row r="1177" spans="3:9" x14ac:dyDescent="0.55000000000000004">
      <c r="C1177" s="7"/>
      <c r="E1177" t="s">
        <v>3109</v>
      </c>
      <c r="F1177">
        <v>17</v>
      </c>
      <c r="G1177" t="s">
        <v>3110</v>
      </c>
      <c r="H1177" t="s">
        <v>3111</v>
      </c>
      <c r="I1177" t="s">
        <v>3096</v>
      </c>
    </row>
    <row r="1178" spans="3:9" x14ac:dyDescent="0.55000000000000004">
      <c r="C1178" s="7"/>
      <c r="E1178" t="s">
        <v>3112</v>
      </c>
      <c r="F1178">
        <v>18</v>
      </c>
      <c r="G1178" t="s">
        <v>3113</v>
      </c>
      <c r="H1178" t="s">
        <v>3114</v>
      </c>
      <c r="I1178" t="s">
        <v>3096</v>
      </c>
    </row>
    <row r="1179" spans="3:9" x14ac:dyDescent="0.55000000000000004">
      <c r="C1179" s="7"/>
      <c r="E1179" t="s">
        <v>3115</v>
      </c>
      <c r="F1179">
        <v>19</v>
      </c>
      <c r="G1179" t="s">
        <v>3116</v>
      </c>
      <c r="H1179" t="s">
        <v>3117</v>
      </c>
      <c r="I1179" t="s">
        <v>3096</v>
      </c>
    </row>
    <row r="1180" spans="3:9" x14ac:dyDescent="0.55000000000000004">
      <c r="C1180" s="7"/>
      <c r="E1180" t="s">
        <v>3118</v>
      </c>
      <c r="F1180">
        <v>20</v>
      </c>
      <c r="G1180" t="s">
        <v>3119</v>
      </c>
      <c r="H1180" t="s">
        <v>3120</v>
      </c>
      <c r="I1180" t="s">
        <v>3096</v>
      </c>
    </row>
    <row r="1181" spans="3:9" x14ac:dyDescent="0.55000000000000004">
      <c r="C1181" s="7"/>
      <c r="E1181" t="s">
        <v>3121</v>
      </c>
      <c r="F1181">
        <v>22</v>
      </c>
      <c r="G1181" t="s">
        <v>3122</v>
      </c>
      <c r="H1181" t="s">
        <v>3123</v>
      </c>
      <c r="I1181" t="s">
        <v>3096</v>
      </c>
    </row>
    <row r="1182" spans="3:9" x14ac:dyDescent="0.55000000000000004">
      <c r="C1182" s="7"/>
      <c r="E1182" t="s">
        <v>3124</v>
      </c>
      <c r="F1182">
        <v>23</v>
      </c>
      <c r="G1182" t="s">
        <v>3125</v>
      </c>
      <c r="H1182" t="s">
        <v>3126</v>
      </c>
      <c r="I1182" t="s">
        <v>3096</v>
      </c>
    </row>
    <row r="1183" spans="3:9" x14ac:dyDescent="0.55000000000000004">
      <c r="C1183" s="7"/>
      <c r="E1183" t="s">
        <v>3127</v>
      </c>
      <c r="F1183">
        <v>24</v>
      </c>
      <c r="G1183" t="s">
        <v>3128</v>
      </c>
      <c r="H1183" t="s">
        <v>3129</v>
      </c>
      <c r="I1183" t="s">
        <v>3096</v>
      </c>
    </row>
    <row r="1184" spans="3:9" x14ac:dyDescent="0.55000000000000004">
      <c r="C1184" s="7"/>
      <c r="E1184" t="s">
        <v>3130</v>
      </c>
      <c r="F1184">
        <v>25</v>
      </c>
      <c r="G1184" t="s">
        <v>3131</v>
      </c>
      <c r="H1184" t="s">
        <v>3132</v>
      </c>
      <c r="I1184" t="s">
        <v>3096</v>
      </c>
    </row>
    <row r="1185" spans="3:9" x14ac:dyDescent="0.55000000000000004">
      <c r="C1185" s="7"/>
      <c r="E1185" t="s">
        <v>3133</v>
      </c>
      <c r="F1185">
        <v>26</v>
      </c>
      <c r="G1185" t="s">
        <v>3134</v>
      </c>
      <c r="H1185" t="s">
        <v>3135</v>
      </c>
      <c r="I1185" t="s">
        <v>3096</v>
      </c>
    </row>
    <row r="1186" spans="3:9" x14ac:dyDescent="0.55000000000000004">
      <c r="C1186" s="7"/>
      <c r="E1186" t="s">
        <v>3136</v>
      </c>
      <c r="F1186">
        <v>27</v>
      </c>
      <c r="G1186" t="s">
        <v>3137</v>
      </c>
      <c r="H1186" t="s">
        <v>3138</v>
      </c>
      <c r="I1186" t="s">
        <v>3096</v>
      </c>
    </row>
    <row r="1187" spans="3:9" x14ac:dyDescent="0.55000000000000004">
      <c r="C1187" s="7"/>
      <c r="E1187" t="s">
        <v>3139</v>
      </c>
      <c r="F1187">
        <v>28</v>
      </c>
      <c r="G1187" t="s">
        <v>3140</v>
      </c>
      <c r="H1187" t="s">
        <v>3141</v>
      </c>
      <c r="I1187" t="s">
        <v>3096</v>
      </c>
    </row>
    <row r="1188" spans="3:9" x14ac:dyDescent="0.55000000000000004">
      <c r="C1188" s="7"/>
      <c r="E1188" t="s">
        <v>3142</v>
      </c>
      <c r="F1188">
        <v>29</v>
      </c>
      <c r="G1188" t="s">
        <v>3143</v>
      </c>
      <c r="H1188" t="s">
        <v>3144</v>
      </c>
      <c r="I1188" t="s">
        <v>3096</v>
      </c>
    </row>
    <row r="1189" spans="3:9" x14ac:dyDescent="0.55000000000000004">
      <c r="C1189" s="7"/>
      <c r="E1189" t="s">
        <v>3145</v>
      </c>
      <c r="F1189">
        <v>30</v>
      </c>
      <c r="G1189" t="s">
        <v>3146</v>
      </c>
      <c r="H1189" t="s">
        <v>3147</v>
      </c>
      <c r="I1189" t="s">
        <v>3096</v>
      </c>
    </row>
    <row r="1190" spans="3:9" x14ac:dyDescent="0.55000000000000004">
      <c r="C1190" s="7"/>
      <c r="E1190" t="s">
        <v>3148</v>
      </c>
      <c r="F1190">
        <v>31</v>
      </c>
      <c r="G1190" t="s">
        <v>3149</v>
      </c>
      <c r="H1190" t="s">
        <v>3150</v>
      </c>
      <c r="I1190" t="s">
        <v>3096</v>
      </c>
    </row>
    <row r="1191" spans="3:9" x14ac:dyDescent="0.55000000000000004">
      <c r="C1191" s="7"/>
      <c r="E1191" t="s">
        <v>3151</v>
      </c>
      <c r="F1191">
        <v>32</v>
      </c>
      <c r="G1191" t="s">
        <v>3152</v>
      </c>
      <c r="H1191" t="s">
        <v>3153</v>
      </c>
      <c r="I1191" t="s">
        <v>3096</v>
      </c>
    </row>
    <row r="1192" spans="3:9" x14ac:dyDescent="0.55000000000000004">
      <c r="C1192" s="7"/>
      <c r="E1192" t="s">
        <v>3154</v>
      </c>
      <c r="F1192">
        <v>33</v>
      </c>
      <c r="G1192" t="s">
        <v>3155</v>
      </c>
      <c r="H1192" t="s">
        <v>3156</v>
      </c>
      <c r="I1192" t="s">
        <v>3096</v>
      </c>
    </row>
    <row r="1193" spans="3:9" x14ac:dyDescent="0.55000000000000004">
      <c r="C1193" s="7"/>
      <c r="E1193" t="s">
        <v>3157</v>
      </c>
      <c r="F1193">
        <v>34</v>
      </c>
      <c r="G1193" t="s">
        <v>3158</v>
      </c>
      <c r="H1193" t="s">
        <v>3159</v>
      </c>
      <c r="I1193" t="s">
        <v>3096</v>
      </c>
    </row>
    <row r="1194" spans="3:9" x14ac:dyDescent="0.55000000000000004">
      <c r="C1194" s="7"/>
      <c r="E1194" t="s">
        <v>3160</v>
      </c>
      <c r="F1194">
        <v>35</v>
      </c>
      <c r="G1194" t="s">
        <v>3161</v>
      </c>
      <c r="H1194" t="s">
        <v>3162</v>
      </c>
      <c r="I1194" t="s">
        <v>3096</v>
      </c>
    </row>
    <row r="1195" spans="3:9" x14ac:dyDescent="0.55000000000000004">
      <c r="C1195" s="7"/>
      <c r="E1195" t="s">
        <v>3163</v>
      </c>
      <c r="F1195">
        <v>36</v>
      </c>
      <c r="G1195" t="s">
        <v>3164</v>
      </c>
      <c r="H1195" t="s">
        <v>3165</v>
      </c>
      <c r="I1195" t="s">
        <v>3096</v>
      </c>
    </row>
    <row r="1196" spans="3:9" x14ac:dyDescent="0.55000000000000004">
      <c r="C1196" s="7"/>
      <c r="E1196" t="s">
        <v>3166</v>
      </c>
      <c r="F1196">
        <v>37</v>
      </c>
      <c r="G1196" t="s">
        <v>3167</v>
      </c>
      <c r="H1196" t="s">
        <v>3168</v>
      </c>
      <c r="I1196" t="s">
        <v>3096</v>
      </c>
    </row>
    <row r="1197" spans="3:9" x14ac:dyDescent="0.55000000000000004">
      <c r="C1197" s="7"/>
      <c r="E1197" t="s">
        <v>3169</v>
      </c>
      <c r="F1197">
        <v>38</v>
      </c>
      <c r="G1197" t="s">
        <v>3170</v>
      </c>
      <c r="H1197" t="s">
        <v>3171</v>
      </c>
      <c r="I1197" t="s">
        <v>3096</v>
      </c>
    </row>
    <row r="1198" spans="3:9" x14ac:dyDescent="0.55000000000000004">
      <c r="C1198" s="7"/>
      <c r="E1198" t="s">
        <v>3172</v>
      </c>
      <c r="F1198">
        <v>39</v>
      </c>
      <c r="G1198" t="s">
        <v>3173</v>
      </c>
      <c r="H1198" t="s">
        <v>3174</v>
      </c>
      <c r="I1198" t="s">
        <v>3096</v>
      </c>
    </row>
    <row r="1199" spans="3:9" x14ac:dyDescent="0.55000000000000004">
      <c r="C1199" s="7"/>
      <c r="E1199" t="s">
        <v>3175</v>
      </c>
      <c r="F1199">
        <v>40</v>
      </c>
      <c r="G1199" t="s">
        <v>3176</v>
      </c>
      <c r="H1199" t="s">
        <v>3177</v>
      </c>
      <c r="I1199" t="s">
        <v>3096</v>
      </c>
    </row>
    <row r="1200" spans="3:9" x14ac:dyDescent="0.55000000000000004">
      <c r="C1200" s="7"/>
      <c r="E1200" t="s">
        <v>3178</v>
      </c>
      <c r="F1200">
        <v>41</v>
      </c>
      <c r="G1200" t="s">
        <v>3179</v>
      </c>
      <c r="H1200" t="s">
        <v>3180</v>
      </c>
      <c r="I1200" t="s">
        <v>3096</v>
      </c>
    </row>
    <row r="1201" spans="3:9" x14ac:dyDescent="0.55000000000000004">
      <c r="C1201" s="7"/>
      <c r="E1201" t="s">
        <v>3181</v>
      </c>
      <c r="F1201">
        <v>42</v>
      </c>
      <c r="G1201" t="s">
        <v>3182</v>
      </c>
      <c r="H1201" t="s">
        <v>3183</v>
      </c>
      <c r="I1201" t="s">
        <v>3096</v>
      </c>
    </row>
    <row r="1202" spans="3:9" x14ac:dyDescent="0.55000000000000004">
      <c r="C1202" s="7"/>
      <c r="E1202" t="s">
        <v>3184</v>
      </c>
      <c r="F1202">
        <v>43</v>
      </c>
      <c r="G1202" t="s">
        <v>3185</v>
      </c>
      <c r="H1202" t="s">
        <v>3186</v>
      </c>
      <c r="I1202" t="s">
        <v>3096</v>
      </c>
    </row>
    <row r="1203" spans="3:9" x14ac:dyDescent="0.55000000000000004">
      <c r="C1203" s="7"/>
      <c r="E1203" t="s">
        <v>3187</v>
      </c>
      <c r="F1203">
        <v>44</v>
      </c>
      <c r="G1203" t="s">
        <v>3188</v>
      </c>
      <c r="H1203" t="s">
        <v>3189</v>
      </c>
      <c r="I1203" t="s">
        <v>3096</v>
      </c>
    </row>
    <row r="1204" spans="3:9" x14ac:dyDescent="0.55000000000000004">
      <c r="C1204" s="7"/>
      <c r="E1204" t="s">
        <v>3190</v>
      </c>
      <c r="F1204">
        <v>45</v>
      </c>
      <c r="G1204" t="s">
        <v>3191</v>
      </c>
      <c r="H1204" t="s">
        <v>3192</v>
      </c>
      <c r="I1204" t="s">
        <v>3096</v>
      </c>
    </row>
    <row r="1205" spans="3:9" x14ac:dyDescent="0.55000000000000004">
      <c r="C1205" s="7"/>
      <c r="E1205" t="s">
        <v>3193</v>
      </c>
      <c r="F1205">
        <v>46</v>
      </c>
      <c r="G1205" t="s">
        <v>3194</v>
      </c>
      <c r="H1205" t="s">
        <v>3195</v>
      </c>
      <c r="I1205" t="s">
        <v>3096</v>
      </c>
    </row>
    <row r="1206" spans="3:9" x14ac:dyDescent="0.55000000000000004">
      <c r="C1206" s="7"/>
      <c r="E1206" t="s">
        <v>3196</v>
      </c>
      <c r="F1206">
        <v>47</v>
      </c>
      <c r="G1206" t="s">
        <v>3197</v>
      </c>
      <c r="H1206" t="s">
        <v>3198</v>
      </c>
      <c r="I1206" t="s">
        <v>3096</v>
      </c>
    </row>
    <row r="1207" spans="3:9" x14ac:dyDescent="0.55000000000000004">
      <c r="C1207" s="7"/>
      <c r="E1207" t="s">
        <v>3199</v>
      </c>
      <c r="F1207">
        <v>48</v>
      </c>
      <c r="G1207" t="s">
        <v>3200</v>
      </c>
      <c r="H1207" t="s">
        <v>3201</v>
      </c>
      <c r="I1207" t="s">
        <v>3096</v>
      </c>
    </row>
    <row r="1208" spans="3:9" x14ac:dyDescent="0.55000000000000004">
      <c r="C1208" s="7"/>
      <c r="E1208" t="s">
        <v>3202</v>
      </c>
      <c r="F1208">
        <v>900</v>
      </c>
      <c r="G1208" t="s">
        <v>3203</v>
      </c>
      <c r="H1208" t="s">
        <v>3204</v>
      </c>
      <c r="I1208" t="s">
        <v>3096</v>
      </c>
    </row>
    <row r="1209" spans="3:9" x14ac:dyDescent="0.55000000000000004">
      <c r="C1209" s="7"/>
      <c r="E1209" t="s">
        <v>3205</v>
      </c>
      <c r="F1209">
        <v>901</v>
      </c>
      <c r="G1209" t="s">
        <v>3206</v>
      </c>
      <c r="H1209" t="s">
        <v>3207</v>
      </c>
      <c r="I1209" t="s">
        <v>3096</v>
      </c>
    </row>
    <row r="1210" spans="3:9" x14ac:dyDescent="0.55000000000000004">
      <c r="C1210" s="7"/>
      <c r="E1210" t="s">
        <v>3208</v>
      </c>
      <c r="F1210">
        <v>902</v>
      </c>
      <c r="G1210" t="s">
        <v>3209</v>
      </c>
      <c r="H1210" t="s">
        <v>3210</v>
      </c>
      <c r="I1210" t="s">
        <v>3096</v>
      </c>
    </row>
    <row r="1211" spans="3:9" x14ac:dyDescent="0.55000000000000004">
      <c r="C1211" s="7"/>
      <c r="E1211" t="s">
        <v>3211</v>
      </c>
      <c r="F1211">
        <v>903</v>
      </c>
      <c r="G1211" t="s">
        <v>3212</v>
      </c>
      <c r="H1211" t="s">
        <v>3213</v>
      </c>
      <c r="I1211" t="s">
        <v>3096</v>
      </c>
    </row>
    <row r="1212" spans="3:9" x14ac:dyDescent="0.55000000000000004">
      <c r="C1212" s="7"/>
      <c r="E1212" t="s">
        <v>3214</v>
      </c>
      <c r="F1212">
        <v>904</v>
      </c>
      <c r="G1212" t="s">
        <v>3215</v>
      </c>
      <c r="H1212" t="s">
        <v>3216</v>
      </c>
      <c r="I1212" t="s">
        <v>3096</v>
      </c>
    </row>
    <row r="1213" spans="3:9" x14ac:dyDescent="0.55000000000000004">
      <c r="C1213" s="7"/>
      <c r="E1213" t="s">
        <v>3217</v>
      </c>
      <c r="F1213">
        <v>999</v>
      </c>
      <c r="G1213" t="s">
        <v>135</v>
      </c>
      <c r="H1213" t="s">
        <v>3218</v>
      </c>
      <c r="I1213" t="s">
        <v>3096</v>
      </c>
    </row>
    <row r="1214" spans="3:9" x14ac:dyDescent="0.55000000000000004">
      <c r="C1214" s="7"/>
      <c r="E1214" t="s">
        <v>3219</v>
      </c>
      <c r="F1214">
        <v>0</v>
      </c>
      <c r="G1214" t="s">
        <v>3220</v>
      </c>
      <c r="H1214" t="s">
        <v>3221</v>
      </c>
      <c r="I1214" t="s">
        <v>3222</v>
      </c>
    </row>
    <row r="1215" spans="3:9" x14ac:dyDescent="0.55000000000000004">
      <c r="C1215" s="7"/>
      <c r="E1215" t="s">
        <v>3236</v>
      </c>
      <c r="F1215">
        <v>0</v>
      </c>
      <c r="G1215" t="s">
        <v>3237</v>
      </c>
      <c r="H1215" t="s">
        <v>3238</v>
      </c>
      <c r="I1215" t="s">
        <v>3235</v>
      </c>
    </row>
    <row r="1216" spans="3:9" x14ac:dyDescent="0.55000000000000004">
      <c r="C1216" s="7"/>
      <c r="E1216" t="s">
        <v>3239</v>
      </c>
      <c r="F1216">
        <v>9</v>
      </c>
      <c r="G1216" t="s">
        <v>3240</v>
      </c>
      <c r="H1216" t="s">
        <v>3241</v>
      </c>
      <c r="I1216" t="s">
        <v>3235</v>
      </c>
    </row>
    <row r="1217" spans="3:9" x14ac:dyDescent="0.55000000000000004">
      <c r="C1217" s="7"/>
      <c r="E1217" t="s">
        <v>3242</v>
      </c>
      <c r="F1217">
        <v>11</v>
      </c>
      <c r="G1217" t="s">
        <v>3101</v>
      </c>
      <c r="H1217" t="s">
        <v>3243</v>
      </c>
      <c r="I1217" t="s">
        <v>3235</v>
      </c>
    </row>
    <row r="1218" spans="3:9" x14ac:dyDescent="0.55000000000000004">
      <c r="C1218" s="7"/>
      <c r="E1218" t="s">
        <v>3244</v>
      </c>
      <c r="F1218">
        <v>12</v>
      </c>
      <c r="G1218" t="s">
        <v>3104</v>
      </c>
      <c r="H1218" t="s">
        <v>3245</v>
      </c>
      <c r="I1218" t="s">
        <v>3235</v>
      </c>
    </row>
    <row r="1219" spans="3:9" x14ac:dyDescent="0.55000000000000004">
      <c r="C1219" s="7"/>
      <c r="E1219" t="s">
        <v>3246</v>
      </c>
      <c r="F1219">
        <v>16</v>
      </c>
      <c r="G1219" t="s">
        <v>3107</v>
      </c>
      <c r="H1219" t="s">
        <v>3247</v>
      </c>
      <c r="I1219" t="s">
        <v>3235</v>
      </c>
    </row>
    <row r="1220" spans="3:9" x14ac:dyDescent="0.55000000000000004">
      <c r="C1220" s="7"/>
      <c r="E1220" t="s">
        <v>3248</v>
      </c>
      <c r="F1220">
        <v>17</v>
      </c>
      <c r="G1220" t="s">
        <v>3110</v>
      </c>
      <c r="H1220" t="s">
        <v>3249</v>
      </c>
      <c r="I1220" t="s">
        <v>3235</v>
      </c>
    </row>
    <row r="1221" spans="3:9" x14ac:dyDescent="0.55000000000000004">
      <c r="C1221" s="7"/>
      <c r="E1221" t="s">
        <v>3250</v>
      </c>
      <c r="F1221">
        <v>18</v>
      </c>
      <c r="G1221" t="s">
        <v>3113</v>
      </c>
      <c r="H1221" t="s">
        <v>3251</v>
      </c>
      <c r="I1221" t="s">
        <v>3235</v>
      </c>
    </row>
    <row r="1222" spans="3:9" x14ac:dyDescent="0.55000000000000004">
      <c r="C1222" s="7"/>
      <c r="E1222" t="s">
        <v>3252</v>
      </c>
      <c r="F1222">
        <v>19</v>
      </c>
      <c r="G1222" t="s">
        <v>3116</v>
      </c>
      <c r="H1222" t="s">
        <v>3253</v>
      </c>
      <c r="I1222" t="s">
        <v>3235</v>
      </c>
    </row>
    <row r="1223" spans="3:9" x14ac:dyDescent="0.55000000000000004">
      <c r="C1223" s="7"/>
      <c r="E1223" t="s">
        <v>3254</v>
      </c>
      <c r="F1223">
        <v>20</v>
      </c>
      <c r="G1223" t="s">
        <v>3119</v>
      </c>
      <c r="H1223" t="s">
        <v>3255</v>
      </c>
      <c r="I1223" t="s">
        <v>3235</v>
      </c>
    </row>
    <row r="1224" spans="3:9" x14ac:dyDescent="0.55000000000000004">
      <c r="C1224" s="7"/>
      <c r="E1224" t="s">
        <v>3256</v>
      </c>
      <c r="F1224">
        <v>22</v>
      </c>
      <c r="G1224" t="s">
        <v>3122</v>
      </c>
      <c r="H1224" t="s">
        <v>3257</v>
      </c>
      <c r="I1224" t="s">
        <v>3235</v>
      </c>
    </row>
    <row r="1225" spans="3:9" x14ac:dyDescent="0.55000000000000004">
      <c r="C1225" s="7"/>
      <c r="E1225" t="s">
        <v>3258</v>
      </c>
      <c r="F1225">
        <v>23</v>
      </c>
      <c r="G1225" t="s">
        <v>3125</v>
      </c>
      <c r="H1225" t="s">
        <v>3259</v>
      </c>
      <c r="I1225" t="s">
        <v>3235</v>
      </c>
    </row>
    <row r="1226" spans="3:9" x14ac:dyDescent="0.55000000000000004">
      <c r="C1226" s="7"/>
      <c r="E1226" t="s">
        <v>3260</v>
      </c>
      <c r="F1226">
        <v>24</v>
      </c>
      <c r="G1226" t="s">
        <v>3128</v>
      </c>
      <c r="H1226" t="s">
        <v>3261</v>
      </c>
      <c r="I1226" t="s">
        <v>3235</v>
      </c>
    </row>
    <row r="1227" spans="3:9" x14ac:dyDescent="0.55000000000000004">
      <c r="C1227" s="7"/>
      <c r="E1227" t="s">
        <v>3262</v>
      </c>
      <c r="F1227">
        <v>25</v>
      </c>
      <c r="G1227" t="s">
        <v>3131</v>
      </c>
      <c r="H1227" t="s">
        <v>3263</v>
      </c>
      <c r="I1227" t="s">
        <v>3235</v>
      </c>
    </row>
    <row r="1228" spans="3:9" x14ac:dyDescent="0.55000000000000004">
      <c r="C1228" s="7"/>
      <c r="E1228" t="s">
        <v>3264</v>
      </c>
      <c r="F1228">
        <v>26</v>
      </c>
      <c r="G1228" t="s">
        <v>3134</v>
      </c>
      <c r="H1228" t="s">
        <v>3265</v>
      </c>
      <c r="I1228" t="s">
        <v>3235</v>
      </c>
    </row>
    <row r="1229" spans="3:9" x14ac:dyDescent="0.55000000000000004">
      <c r="C1229" s="7"/>
      <c r="E1229" t="s">
        <v>3266</v>
      </c>
      <c r="F1229">
        <v>27</v>
      </c>
      <c r="G1229" t="s">
        <v>3137</v>
      </c>
      <c r="H1229" t="s">
        <v>3267</v>
      </c>
      <c r="I1229" t="s">
        <v>3235</v>
      </c>
    </row>
    <row r="1230" spans="3:9" x14ac:dyDescent="0.55000000000000004">
      <c r="C1230" s="7"/>
      <c r="E1230" t="s">
        <v>3268</v>
      </c>
      <c r="F1230">
        <v>28</v>
      </c>
      <c r="G1230" t="s">
        <v>3140</v>
      </c>
      <c r="H1230" t="s">
        <v>3269</v>
      </c>
      <c r="I1230" t="s">
        <v>3235</v>
      </c>
    </row>
    <row r="1231" spans="3:9" x14ac:dyDescent="0.55000000000000004">
      <c r="C1231" s="7"/>
      <c r="E1231" t="s">
        <v>3270</v>
      </c>
      <c r="F1231">
        <v>29</v>
      </c>
      <c r="G1231" t="s">
        <v>3143</v>
      </c>
      <c r="H1231" t="s">
        <v>3271</v>
      </c>
      <c r="I1231" t="s">
        <v>3235</v>
      </c>
    </row>
    <row r="1232" spans="3:9" x14ac:dyDescent="0.55000000000000004">
      <c r="C1232" s="7"/>
      <c r="E1232" t="s">
        <v>3272</v>
      </c>
      <c r="F1232">
        <v>30</v>
      </c>
      <c r="G1232" t="s">
        <v>3146</v>
      </c>
      <c r="H1232" t="s">
        <v>3273</v>
      </c>
      <c r="I1232" t="s">
        <v>3235</v>
      </c>
    </row>
    <row r="1233" spans="3:9" x14ac:dyDescent="0.55000000000000004">
      <c r="C1233" s="7"/>
      <c r="E1233" t="s">
        <v>3274</v>
      </c>
      <c r="F1233">
        <v>31</v>
      </c>
      <c r="G1233" t="s">
        <v>3149</v>
      </c>
      <c r="H1233" t="s">
        <v>3275</v>
      </c>
      <c r="I1233" t="s">
        <v>3235</v>
      </c>
    </row>
    <row r="1234" spans="3:9" x14ac:dyDescent="0.55000000000000004">
      <c r="C1234" s="7"/>
      <c r="E1234" t="s">
        <v>3276</v>
      </c>
      <c r="F1234">
        <v>32</v>
      </c>
      <c r="G1234" t="s">
        <v>3152</v>
      </c>
      <c r="H1234" t="s">
        <v>3277</v>
      </c>
      <c r="I1234" t="s">
        <v>3235</v>
      </c>
    </row>
    <row r="1235" spans="3:9" x14ac:dyDescent="0.55000000000000004">
      <c r="C1235" s="7"/>
      <c r="E1235" t="s">
        <v>3278</v>
      </c>
      <c r="F1235">
        <v>33</v>
      </c>
      <c r="G1235" t="s">
        <v>3155</v>
      </c>
      <c r="H1235" t="s">
        <v>3279</v>
      </c>
      <c r="I1235" t="s">
        <v>3235</v>
      </c>
    </row>
    <row r="1236" spans="3:9" x14ac:dyDescent="0.55000000000000004">
      <c r="C1236" s="7"/>
      <c r="E1236" t="s">
        <v>3280</v>
      </c>
      <c r="F1236">
        <v>34</v>
      </c>
      <c r="G1236" t="s">
        <v>3158</v>
      </c>
      <c r="H1236" t="s">
        <v>3281</v>
      </c>
      <c r="I1236" t="s">
        <v>3235</v>
      </c>
    </row>
    <row r="1237" spans="3:9" x14ac:dyDescent="0.55000000000000004">
      <c r="C1237" s="7"/>
      <c r="E1237" t="s">
        <v>3282</v>
      </c>
      <c r="F1237">
        <v>35</v>
      </c>
      <c r="G1237" t="s">
        <v>3161</v>
      </c>
      <c r="H1237" t="s">
        <v>3283</v>
      </c>
      <c r="I1237" t="s">
        <v>3235</v>
      </c>
    </row>
    <row r="1238" spans="3:9" x14ac:dyDescent="0.55000000000000004">
      <c r="C1238" s="7"/>
      <c r="E1238" t="s">
        <v>3284</v>
      </c>
      <c r="F1238">
        <v>36</v>
      </c>
      <c r="G1238" t="s">
        <v>3164</v>
      </c>
      <c r="H1238" t="s">
        <v>3285</v>
      </c>
      <c r="I1238" t="s">
        <v>3235</v>
      </c>
    </row>
    <row r="1239" spans="3:9" x14ac:dyDescent="0.55000000000000004">
      <c r="C1239" s="7"/>
      <c r="E1239" t="s">
        <v>3286</v>
      </c>
      <c r="F1239">
        <v>37</v>
      </c>
      <c r="G1239" t="s">
        <v>3167</v>
      </c>
      <c r="H1239" t="s">
        <v>3287</v>
      </c>
      <c r="I1239" t="s">
        <v>3235</v>
      </c>
    </row>
    <row r="1240" spans="3:9" x14ac:dyDescent="0.55000000000000004">
      <c r="C1240" s="7"/>
      <c r="E1240" t="s">
        <v>3288</v>
      </c>
      <c r="F1240">
        <v>38</v>
      </c>
      <c r="G1240" t="s">
        <v>3170</v>
      </c>
      <c r="H1240" t="s">
        <v>3289</v>
      </c>
      <c r="I1240" t="s">
        <v>3235</v>
      </c>
    </row>
    <row r="1241" spans="3:9" x14ac:dyDescent="0.55000000000000004">
      <c r="C1241" s="7"/>
      <c r="E1241" t="s">
        <v>3290</v>
      </c>
      <c r="F1241">
        <v>39</v>
      </c>
      <c r="G1241" t="s">
        <v>3173</v>
      </c>
      <c r="H1241" t="s">
        <v>3291</v>
      </c>
      <c r="I1241" t="s">
        <v>3235</v>
      </c>
    </row>
    <row r="1242" spans="3:9" x14ac:dyDescent="0.55000000000000004">
      <c r="C1242" s="7"/>
      <c r="E1242" t="s">
        <v>3292</v>
      </c>
      <c r="F1242">
        <v>40</v>
      </c>
      <c r="G1242" t="s">
        <v>3176</v>
      </c>
      <c r="H1242" t="s">
        <v>3293</v>
      </c>
      <c r="I1242" t="s">
        <v>3235</v>
      </c>
    </row>
    <row r="1243" spans="3:9" x14ac:dyDescent="0.55000000000000004">
      <c r="C1243" s="7"/>
      <c r="E1243" t="s">
        <v>3294</v>
      </c>
      <c r="F1243">
        <v>41</v>
      </c>
      <c r="G1243" t="s">
        <v>3179</v>
      </c>
      <c r="H1243" t="s">
        <v>3295</v>
      </c>
      <c r="I1243" t="s">
        <v>3235</v>
      </c>
    </row>
    <row r="1244" spans="3:9" x14ac:dyDescent="0.55000000000000004">
      <c r="C1244" s="7"/>
      <c r="E1244" t="s">
        <v>3296</v>
      </c>
      <c r="F1244">
        <v>42</v>
      </c>
      <c r="G1244" t="s">
        <v>3182</v>
      </c>
      <c r="H1244" t="s">
        <v>3297</v>
      </c>
      <c r="I1244" t="s">
        <v>3235</v>
      </c>
    </row>
    <row r="1245" spans="3:9" x14ac:dyDescent="0.55000000000000004">
      <c r="C1245" s="7"/>
      <c r="E1245" t="s">
        <v>3298</v>
      </c>
      <c r="F1245">
        <v>43</v>
      </c>
      <c r="G1245" t="s">
        <v>3185</v>
      </c>
      <c r="H1245" t="s">
        <v>3299</v>
      </c>
      <c r="I1245" t="s">
        <v>3235</v>
      </c>
    </row>
    <row r="1246" spans="3:9" x14ac:dyDescent="0.55000000000000004">
      <c r="C1246" s="7"/>
      <c r="E1246" t="s">
        <v>3300</v>
      </c>
      <c r="F1246">
        <v>44</v>
      </c>
      <c r="G1246" t="s">
        <v>3188</v>
      </c>
      <c r="H1246" t="s">
        <v>3301</v>
      </c>
      <c r="I1246" t="s">
        <v>3235</v>
      </c>
    </row>
    <row r="1247" spans="3:9" x14ac:dyDescent="0.55000000000000004">
      <c r="C1247" s="7"/>
      <c r="E1247" t="s">
        <v>3302</v>
      </c>
      <c r="F1247">
        <v>45</v>
      </c>
      <c r="G1247" t="s">
        <v>3191</v>
      </c>
      <c r="H1247" t="s">
        <v>3303</v>
      </c>
      <c r="I1247" t="s">
        <v>3235</v>
      </c>
    </row>
    <row r="1248" spans="3:9" x14ac:dyDescent="0.55000000000000004">
      <c r="C1248" s="7"/>
      <c r="E1248" t="s">
        <v>3304</v>
      </c>
      <c r="F1248">
        <v>46</v>
      </c>
      <c r="G1248" t="s">
        <v>3194</v>
      </c>
      <c r="H1248" t="s">
        <v>3305</v>
      </c>
      <c r="I1248" t="s">
        <v>3235</v>
      </c>
    </row>
    <row r="1249" spans="3:9" x14ac:dyDescent="0.55000000000000004">
      <c r="C1249" s="7"/>
      <c r="E1249" t="s">
        <v>3306</v>
      </c>
      <c r="F1249">
        <v>47</v>
      </c>
      <c r="G1249" t="s">
        <v>3197</v>
      </c>
      <c r="H1249" t="s">
        <v>3307</v>
      </c>
      <c r="I1249" t="s">
        <v>3235</v>
      </c>
    </row>
    <row r="1250" spans="3:9" x14ac:dyDescent="0.55000000000000004">
      <c r="C1250" s="7"/>
      <c r="E1250" t="s">
        <v>3308</v>
      </c>
      <c r="F1250">
        <v>48</v>
      </c>
      <c r="G1250" t="s">
        <v>3200</v>
      </c>
      <c r="H1250" t="s">
        <v>3309</v>
      </c>
      <c r="I1250" t="s">
        <v>3235</v>
      </c>
    </row>
    <row r="1251" spans="3:9" x14ac:dyDescent="0.55000000000000004">
      <c r="C1251" s="7"/>
      <c r="E1251" t="s">
        <v>3310</v>
      </c>
      <c r="F1251">
        <v>49</v>
      </c>
      <c r="G1251" t="s">
        <v>3311</v>
      </c>
      <c r="H1251" t="s">
        <v>3312</v>
      </c>
      <c r="I1251" t="s">
        <v>3235</v>
      </c>
    </row>
    <row r="1252" spans="3:9" x14ac:dyDescent="0.55000000000000004">
      <c r="C1252" s="7"/>
      <c r="E1252" t="s">
        <v>3313</v>
      </c>
      <c r="F1252">
        <v>50</v>
      </c>
      <c r="G1252" t="s">
        <v>3314</v>
      </c>
      <c r="H1252" t="s">
        <v>3315</v>
      </c>
      <c r="I1252" t="s">
        <v>3235</v>
      </c>
    </row>
    <row r="1253" spans="3:9" x14ac:dyDescent="0.55000000000000004">
      <c r="C1253" s="7"/>
      <c r="E1253" t="s">
        <v>3316</v>
      </c>
      <c r="F1253">
        <v>900</v>
      </c>
      <c r="G1253" t="s">
        <v>3203</v>
      </c>
      <c r="H1253" t="s">
        <v>3317</v>
      </c>
      <c r="I1253" t="s">
        <v>3235</v>
      </c>
    </row>
    <row r="1254" spans="3:9" x14ac:dyDescent="0.55000000000000004">
      <c r="C1254" s="7"/>
      <c r="E1254" t="s">
        <v>3318</v>
      </c>
      <c r="F1254">
        <v>901</v>
      </c>
      <c r="G1254" t="s">
        <v>3206</v>
      </c>
      <c r="H1254" t="s">
        <v>3319</v>
      </c>
      <c r="I1254" t="s">
        <v>3235</v>
      </c>
    </row>
    <row r="1255" spans="3:9" x14ac:dyDescent="0.55000000000000004">
      <c r="C1255" s="7"/>
      <c r="E1255" t="s">
        <v>3320</v>
      </c>
      <c r="F1255">
        <v>902</v>
      </c>
      <c r="G1255" t="s">
        <v>3209</v>
      </c>
      <c r="H1255" t="s">
        <v>3321</v>
      </c>
      <c r="I1255" t="s">
        <v>3235</v>
      </c>
    </row>
    <row r="1256" spans="3:9" x14ac:dyDescent="0.55000000000000004">
      <c r="C1256" s="7"/>
      <c r="E1256" t="s">
        <v>3322</v>
      </c>
      <c r="F1256">
        <v>903</v>
      </c>
      <c r="G1256" t="s">
        <v>3212</v>
      </c>
      <c r="H1256" t="s">
        <v>3323</v>
      </c>
      <c r="I1256" t="s">
        <v>3235</v>
      </c>
    </row>
    <row r="1257" spans="3:9" x14ac:dyDescent="0.55000000000000004">
      <c r="C1257" s="7"/>
      <c r="E1257" t="s">
        <v>3324</v>
      </c>
      <c r="F1257">
        <v>904</v>
      </c>
      <c r="G1257" t="s">
        <v>3215</v>
      </c>
      <c r="H1257" t="s">
        <v>3325</v>
      </c>
      <c r="I1257" t="s">
        <v>3235</v>
      </c>
    </row>
    <row r="1258" spans="3:9" x14ac:dyDescent="0.55000000000000004">
      <c r="C1258" s="7"/>
      <c r="E1258" t="s">
        <v>3326</v>
      </c>
      <c r="F1258">
        <v>999</v>
      </c>
      <c r="G1258" t="s">
        <v>135</v>
      </c>
      <c r="H1258" t="s">
        <v>3327</v>
      </c>
      <c r="I1258" t="s">
        <v>3235</v>
      </c>
    </row>
    <row r="1259" spans="3:9" x14ac:dyDescent="0.55000000000000004">
      <c r="C1259" s="7"/>
      <c r="E1259" t="s">
        <v>3339</v>
      </c>
      <c r="F1259">
        <v>0</v>
      </c>
      <c r="G1259" t="s">
        <v>3340</v>
      </c>
      <c r="H1259" t="s">
        <v>3341</v>
      </c>
      <c r="I1259" t="s">
        <v>3342</v>
      </c>
    </row>
    <row r="1260" spans="3:9" x14ac:dyDescent="0.55000000000000004">
      <c r="C1260" s="7"/>
      <c r="E1260" t="s">
        <v>3352</v>
      </c>
      <c r="F1260">
        <v>0</v>
      </c>
      <c r="G1260" t="s">
        <v>3353</v>
      </c>
      <c r="H1260" t="s">
        <v>3354</v>
      </c>
      <c r="I1260" t="s">
        <v>3355</v>
      </c>
    </row>
    <row r="1261" spans="3:9" x14ac:dyDescent="0.55000000000000004">
      <c r="C1261" s="7"/>
      <c r="E1261" t="s">
        <v>3356</v>
      </c>
      <c r="F1261">
        <v>0</v>
      </c>
      <c r="G1261" t="s">
        <v>3357</v>
      </c>
      <c r="H1261" t="s">
        <v>3358</v>
      </c>
      <c r="I1261" t="s">
        <v>3359</v>
      </c>
    </row>
    <row r="1262" spans="3:9" x14ac:dyDescent="0.55000000000000004">
      <c r="C1262" s="7"/>
      <c r="E1262" t="s">
        <v>3361</v>
      </c>
      <c r="F1262">
        <v>0</v>
      </c>
      <c r="G1262" t="s">
        <v>3362</v>
      </c>
      <c r="H1262" t="s">
        <v>3363</v>
      </c>
      <c r="I1262" t="s">
        <v>3360</v>
      </c>
    </row>
    <row r="1263" spans="3:9" x14ac:dyDescent="0.55000000000000004">
      <c r="C1263" s="7"/>
      <c r="E1263" t="s">
        <v>3364</v>
      </c>
      <c r="F1263">
        <v>6</v>
      </c>
      <c r="G1263" t="s">
        <v>3365</v>
      </c>
      <c r="H1263" t="s">
        <v>3366</v>
      </c>
      <c r="I1263" t="s">
        <v>3360</v>
      </c>
    </row>
    <row r="1264" spans="3:9" x14ac:dyDescent="0.55000000000000004">
      <c r="C1264" s="7"/>
      <c r="E1264" t="s">
        <v>3367</v>
      </c>
      <c r="F1264">
        <v>7</v>
      </c>
      <c r="G1264" t="s">
        <v>3368</v>
      </c>
      <c r="H1264" t="s">
        <v>3369</v>
      </c>
      <c r="I1264" t="s">
        <v>3360</v>
      </c>
    </row>
    <row r="1265" spans="3:9" x14ac:dyDescent="0.55000000000000004">
      <c r="C1265" s="7"/>
      <c r="E1265" t="s">
        <v>3370</v>
      </c>
      <c r="F1265">
        <v>51</v>
      </c>
      <c r="G1265" t="s">
        <v>3371</v>
      </c>
      <c r="H1265" t="s">
        <v>3372</v>
      </c>
      <c r="I1265" t="s">
        <v>3360</v>
      </c>
    </row>
    <row r="1266" spans="3:9" x14ac:dyDescent="0.55000000000000004">
      <c r="C1266" s="7"/>
      <c r="E1266" t="s">
        <v>3373</v>
      </c>
      <c r="F1266">
        <v>58</v>
      </c>
      <c r="G1266" t="s">
        <v>3374</v>
      </c>
      <c r="H1266" t="s">
        <v>3375</v>
      </c>
      <c r="I1266" t="s">
        <v>3360</v>
      </c>
    </row>
    <row r="1267" spans="3:9" x14ac:dyDescent="0.55000000000000004">
      <c r="C1267" s="7"/>
      <c r="E1267" t="s">
        <v>3376</v>
      </c>
      <c r="F1267">
        <v>59</v>
      </c>
      <c r="G1267" t="s">
        <v>3377</v>
      </c>
      <c r="H1267" t="s">
        <v>3378</v>
      </c>
      <c r="I1267" t="s">
        <v>3360</v>
      </c>
    </row>
    <row r="1268" spans="3:9" x14ac:dyDescent="0.55000000000000004">
      <c r="C1268" s="7"/>
      <c r="E1268" t="s">
        <v>3379</v>
      </c>
      <c r="F1268">
        <v>60</v>
      </c>
      <c r="G1268" t="s">
        <v>3380</v>
      </c>
      <c r="H1268" t="s">
        <v>3381</v>
      </c>
      <c r="I1268" t="s">
        <v>3360</v>
      </c>
    </row>
    <row r="1269" spans="3:9" x14ac:dyDescent="0.55000000000000004">
      <c r="C1269" s="7"/>
      <c r="E1269" t="s">
        <v>3382</v>
      </c>
      <c r="F1269">
        <v>61</v>
      </c>
      <c r="G1269" t="s">
        <v>3383</v>
      </c>
      <c r="H1269" t="s">
        <v>3384</v>
      </c>
      <c r="I1269" t="s">
        <v>3360</v>
      </c>
    </row>
    <row r="1270" spans="3:9" x14ac:dyDescent="0.55000000000000004">
      <c r="C1270" s="7"/>
      <c r="E1270" t="s">
        <v>3385</v>
      </c>
      <c r="F1270">
        <v>62</v>
      </c>
      <c r="G1270" t="s">
        <v>3386</v>
      </c>
      <c r="H1270" t="s">
        <v>3387</v>
      </c>
      <c r="I1270" t="s">
        <v>3360</v>
      </c>
    </row>
    <row r="1271" spans="3:9" x14ac:dyDescent="0.55000000000000004">
      <c r="C1271" s="7"/>
      <c r="E1271" t="s">
        <v>3388</v>
      </c>
      <c r="F1271">
        <v>63</v>
      </c>
      <c r="G1271" t="s">
        <v>3389</v>
      </c>
      <c r="H1271" t="s">
        <v>3390</v>
      </c>
      <c r="I1271" t="s">
        <v>3360</v>
      </c>
    </row>
    <row r="1272" spans="3:9" x14ac:dyDescent="0.55000000000000004">
      <c r="C1272" s="7"/>
      <c r="E1272" t="s">
        <v>3391</v>
      </c>
      <c r="F1272">
        <v>999</v>
      </c>
      <c r="G1272" t="s">
        <v>135</v>
      </c>
      <c r="H1272" t="s">
        <v>3392</v>
      </c>
      <c r="I1272" t="s">
        <v>3360</v>
      </c>
    </row>
    <row r="1273" spans="3:9" x14ac:dyDescent="0.55000000000000004">
      <c r="C1273" s="7"/>
      <c r="E1273" t="s">
        <v>3397</v>
      </c>
      <c r="F1273">
        <v>0</v>
      </c>
      <c r="G1273" t="s">
        <v>3398</v>
      </c>
      <c r="H1273" t="s">
        <v>3399</v>
      </c>
      <c r="I1273" t="s">
        <v>3400</v>
      </c>
    </row>
    <row r="1274" spans="3:9" x14ac:dyDescent="0.55000000000000004">
      <c r="C1274" s="7"/>
      <c r="E1274" t="s">
        <v>3405</v>
      </c>
      <c r="F1274">
        <v>0</v>
      </c>
      <c r="G1274" t="s">
        <v>3406</v>
      </c>
      <c r="H1274" t="s">
        <v>3407</v>
      </c>
      <c r="I1274" t="s">
        <v>3408</v>
      </c>
    </row>
    <row r="1275" spans="3:9" x14ac:dyDescent="0.55000000000000004">
      <c r="C1275" s="7"/>
      <c r="E1275" t="s">
        <v>3409</v>
      </c>
      <c r="F1275">
        <v>0</v>
      </c>
      <c r="G1275" t="s">
        <v>3410</v>
      </c>
      <c r="H1275" t="s">
        <v>3411</v>
      </c>
      <c r="I1275" t="s">
        <v>3412</v>
      </c>
    </row>
    <row r="1276" spans="3:9" x14ac:dyDescent="0.55000000000000004">
      <c r="C1276" s="7"/>
      <c r="E1276" t="s">
        <v>3413</v>
      </c>
      <c r="F1276">
        <v>0</v>
      </c>
      <c r="G1276" t="s">
        <v>3414</v>
      </c>
      <c r="H1276" t="s">
        <v>3415</v>
      </c>
      <c r="I1276" t="s">
        <v>3416</v>
      </c>
    </row>
    <row r="1277" spans="3:9" x14ac:dyDescent="0.55000000000000004">
      <c r="C1277" s="7"/>
      <c r="E1277" t="s">
        <v>3421</v>
      </c>
      <c r="F1277">
        <v>0</v>
      </c>
      <c r="G1277" t="s">
        <v>3422</v>
      </c>
      <c r="H1277" t="s">
        <v>3423</v>
      </c>
      <c r="I1277" t="s">
        <v>3424</v>
      </c>
    </row>
    <row r="1278" spans="3:9" x14ac:dyDescent="0.55000000000000004">
      <c r="C1278" s="7"/>
      <c r="E1278" t="s">
        <v>3433</v>
      </c>
      <c r="F1278">
        <v>0</v>
      </c>
      <c r="G1278" t="s">
        <v>3434</v>
      </c>
      <c r="H1278" t="s">
        <v>3435</v>
      </c>
      <c r="I1278" t="s">
        <v>3436</v>
      </c>
    </row>
    <row r="1279" spans="3:9" x14ac:dyDescent="0.55000000000000004">
      <c r="C1279" s="7"/>
      <c r="E1279" t="s">
        <v>3437</v>
      </c>
      <c r="F1279">
        <v>0</v>
      </c>
      <c r="G1279" t="s">
        <v>3438</v>
      </c>
      <c r="H1279" t="s">
        <v>3439</v>
      </c>
      <c r="I1279" t="s">
        <v>3440</v>
      </c>
    </row>
    <row r="1280" spans="3:9" x14ac:dyDescent="0.55000000000000004">
      <c r="C1280" s="7"/>
      <c r="E1280" t="s">
        <v>3441</v>
      </c>
      <c r="F1280">
        <v>0</v>
      </c>
      <c r="G1280" t="s">
        <v>3442</v>
      </c>
      <c r="H1280" t="s">
        <v>3443</v>
      </c>
      <c r="I1280" t="s">
        <v>3444</v>
      </c>
    </row>
    <row r="1281" spans="3:9" x14ac:dyDescent="0.55000000000000004">
      <c r="C1281" s="7"/>
      <c r="E1281" t="s">
        <v>3452</v>
      </c>
      <c r="F1281">
        <v>0</v>
      </c>
      <c r="G1281" t="s">
        <v>3453</v>
      </c>
      <c r="H1281" t="s">
        <v>3454</v>
      </c>
      <c r="I1281" t="s">
        <v>3455</v>
      </c>
    </row>
    <row r="1282" spans="3:9" x14ac:dyDescent="0.55000000000000004">
      <c r="C1282" s="7"/>
      <c r="E1282" t="s">
        <v>3456</v>
      </c>
      <c r="F1282">
        <v>0</v>
      </c>
      <c r="G1282" t="s">
        <v>3457</v>
      </c>
      <c r="H1282" t="s">
        <v>3458</v>
      </c>
      <c r="I1282" t="s">
        <v>3459</v>
      </c>
    </row>
    <row r="1283" spans="3:9" x14ac:dyDescent="0.55000000000000004">
      <c r="C1283" s="7"/>
      <c r="E1283" t="s">
        <v>3460</v>
      </c>
      <c r="F1283">
        <v>0</v>
      </c>
      <c r="G1283" t="s">
        <v>3461</v>
      </c>
      <c r="H1283" t="s">
        <v>3462</v>
      </c>
      <c r="I1283" t="s">
        <v>3463</v>
      </c>
    </row>
    <row r="1284" spans="3:9" x14ac:dyDescent="0.55000000000000004">
      <c r="C1284" s="7"/>
      <c r="E1284" t="s">
        <v>3464</v>
      </c>
      <c r="F1284">
        <v>0</v>
      </c>
      <c r="G1284" t="s">
        <v>3465</v>
      </c>
      <c r="H1284" t="s">
        <v>3466</v>
      </c>
      <c r="I1284" t="s">
        <v>3467</v>
      </c>
    </row>
    <row r="1285" spans="3:9" x14ac:dyDescent="0.55000000000000004">
      <c r="C1285" s="7"/>
      <c r="E1285" t="s">
        <v>3468</v>
      </c>
      <c r="F1285">
        <v>0</v>
      </c>
      <c r="G1285" t="s">
        <v>3469</v>
      </c>
      <c r="H1285" t="s">
        <v>3470</v>
      </c>
      <c r="I1285" t="s">
        <v>3471</v>
      </c>
    </row>
    <row r="1286" spans="3:9" x14ac:dyDescent="0.55000000000000004">
      <c r="C1286" s="7"/>
      <c r="E1286" t="s">
        <v>3472</v>
      </c>
      <c r="F1286">
        <v>0</v>
      </c>
      <c r="G1286" t="s">
        <v>3473</v>
      </c>
      <c r="H1286" t="s">
        <v>3474</v>
      </c>
      <c r="I1286" t="s">
        <v>3475</v>
      </c>
    </row>
    <row r="1287" spans="3:9" x14ac:dyDescent="0.55000000000000004">
      <c r="C1287" s="7"/>
      <c r="E1287" t="s">
        <v>3476</v>
      </c>
      <c r="F1287">
        <v>0</v>
      </c>
      <c r="G1287" t="s">
        <v>3477</v>
      </c>
      <c r="H1287" t="s">
        <v>3478</v>
      </c>
      <c r="I1287" t="s">
        <v>3479</v>
      </c>
    </row>
    <row r="1288" spans="3:9" x14ac:dyDescent="0.55000000000000004">
      <c r="C1288" s="7"/>
      <c r="E1288" t="s">
        <v>3480</v>
      </c>
      <c r="F1288">
        <v>0</v>
      </c>
      <c r="G1288" t="s">
        <v>3481</v>
      </c>
      <c r="H1288" t="s">
        <v>3482</v>
      </c>
      <c r="I1288" t="s">
        <v>3483</v>
      </c>
    </row>
    <row r="1289" spans="3:9" x14ac:dyDescent="0.55000000000000004">
      <c r="C1289" s="7"/>
      <c r="E1289" t="s">
        <v>3484</v>
      </c>
      <c r="F1289">
        <v>0</v>
      </c>
      <c r="G1289" t="s">
        <v>3485</v>
      </c>
      <c r="H1289" t="s">
        <v>3486</v>
      </c>
      <c r="I1289" t="s">
        <v>3487</v>
      </c>
    </row>
    <row r="1290" spans="3:9" x14ac:dyDescent="0.55000000000000004">
      <c r="C1290" s="7"/>
      <c r="E1290" t="s">
        <v>3488</v>
      </c>
      <c r="F1290">
        <v>0</v>
      </c>
      <c r="G1290" t="s">
        <v>3489</v>
      </c>
      <c r="H1290" t="s">
        <v>3490</v>
      </c>
      <c r="I1290" t="s">
        <v>3491</v>
      </c>
    </row>
    <row r="1291" spans="3:9" x14ac:dyDescent="0.55000000000000004">
      <c r="C1291" s="7"/>
      <c r="E1291" t="s">
        <v>3492</v>
      </c>
      <c r="F1291">
        <v>0</v>
      </c>
      <c r="G1291" t="s">
        <v>3493</v>
      </c>
      <c r="H1291" t="s">
        <v>3494</v>
      </c>
      <c r="I1291" t="s">
        <v>3495</v>
      </c>
    </row>
    <row r="1292" spans="3:9" x14ac:dyDescent="0.55000000000000004">
      <c r="C1292" s="7"/>
      <c r="E1292" t="s">
        <v>3496</v>
      </c>
      <c r="F1292">
        <v>0</v>
      </c>
      <c r="G1292" t="s">
        <v>3497</v>
      </c>
      <c r="H1292" t="s">
        <v>3498</v>
      </c>
      <c r="I1292" t="s">
        <v>3499</v>
      </c>
    </row>
    <row r="1293" spans="3:9" x14ac:dyDescent="0.55000000000000004">
      <c r="C1293" s="7"/>
      <c r="E1293" t="s">
        <v>3500</v>
      </c>
      <c r="F1293">
        <v>0</v>
      </c>
      <c r="G1293" t="s">
        <v>3501</v>
      </c>
      <c r="H1293" t="s">
        <v>3502</v>
      </c>
      <c r="I1293" t="s">
        <v>3503</v>
      </c>
    </row>
    <row r="1294" spans="3:9" x14ac:dyDescent="0.55000000000000004">
      <c r="C1294" s="7"/>
      <c r="E1294" t="s">
        <v>3512</v>
      </c>
      <c r="F1294">
        <v>0</v>
      </c>
      <c r="G1294" t="s">
        <v>3513</v>
      </c>
      <c r="H1294" t="s">
        <v>3514</v>
      </c>
      <c r="I1294" t="s">
        <v>3515</v>
      </c>
    </row>
    <row r="1295" spans="3:9" x14ac:dyDescent="0.55000000000000004">
      <c r="C1295" s="7"/>
      <c r="E1295" t="s">
        <v>3520</v>
      </c>
      <c r="F1295">
        <v>0</v>
      </c>
      <c r="G1295" t="s">
        <v>3521</v>
      </c>
      <c r="H1295" t="s">
        <v>3522</v>
      </c>
      <c r="I1295" t="s">
        <v>3523</v>
      </c>
    </row>
    <row r="1296" spans="3:9" x14ac:dyDescent="0.55000000000000004">
      <c r="C1296" s="7"/>
      <c r="E1296" t="s">
        <v>3528</v>
      </c>
      <c r="F1296">
        <v>0</v>
      </c>
      <c r="G1296" t="s">
        <v>3529</v>
      </c>
      <c r="H1296" t="s">
        <v>3530</v>
      </c>
      <c r="I1296" t="s">
        <v>3531</v>
      </c>
    </row>
    <row r="1297" spans="3:9" x14ac:dyDescent="0.55000000000000004">
      <c r="C1297" s="7"/>
      <c r="E1297" t="s">
        <v>3532</v>
      </c>
      <c r="F1297">
        <v>0</v>
      </c>
      <c r="G1297" t="s">
        <v>3533</v>
      </c>
      <c r="H1297" t="s">
        <v>3534</v>
      </c>
      <c r="I1297" t="s">
        <v>3535</v>
      </c>
    </row>
    <row r="1298" spans="3:9" x14ac:dyDescent="0.55000000000000004">
      <c r="C1298" s="7"/>
      <c r="E1298" t="s">
        <v>3540</v>
      </c>
      <c r="F1298">
        <v>0</v>
      </c>
      <c r="G1298" t="s">
        <v>3541</v>
      </c>
      <c r="H1298" t="s">
        <v>3542</v>
      </c>
      <c r="I1298" t="s">
        <v>3543</v>
      </c>
    </row>
    <row r="1299" spans="3:9" x14ac:dyDescent="0.55000000000000004">
      <c r="C1299" s="7"/>
      <c r="E1299" t="s">
        <v>3544</v>
      </c>
      <c r="F1299">
        <v>0</v>
      </c>
      <c r="G1299" t="s">
        <v>3545</v>
      </c>
      <c r="H1299" t="s">
        <v>3546</v>
      </c>
      <c r="I1299" t="s">
        <v>3547</v>
      </c>
    </row>
    <row r="1300" spans="3:9" x14ac:dyDescent="0.55000000000000004">
      <c r="C1300" s="7"/>
      <c r="E1300" t="s">
        <v>3555</v>
      </c>
      <c r="F1300">
        <v>0</v>
      </c>
      <c r="G1300" t="s">
        <v>3556</v>
      </c>
      <c r="H1300" t="s">
        <v>3557</v>
      </c>
      <c r="I1300" t="s">
        <v>3558</v>
      </c>
    </row>
    <row r="1301" spans="3:9" x14ac:dyDescent="0.55000000000000004">
      <c r="C1301" s="7"/>
      <c r="E1301" t="s">
        <v>3563</v>
      </c>
      <c r="F1301">
        <v>0</v>
      </c>
      <c r="G1301" t="s">
        <v>3564</v>
      </c>
      <c r="H1301" t="s">
        <v>3565</v>
      </c>
      <c r="I1301" t="s">
        <v>3566</v>
      </c>
    </row>
    <row r="1302" spans="3:9" x14ac:dyDescent="0.55000000000000004">
      <c r="C1302" s="7"/>
      <c r="E1302" t="s">
        <v>3567</v>
      </c>
      <c r="F1302">
        <v>0</v>
      </c>
      <c r="G1302" t="s">
        <v>3568</v>
      </c>
      <c r="H1302" t="s">
        <v>3569</v>
      </c>
      <c r="I1302" t="s">
        <v>3570</v>
      </c>
    </row>
    <row r="1303" spans="3:9" x14ac:dyDescent="0.55000000000000004">
      <c r="C1303" s="7"/>
      <c r="E1303" t="s">
        <v>3575</v>
      </c>
      <c r="F1303">
        <v>0</v>
      </c>
      <c r="G1303" t="s">
        <v>3576</v>
      </c>
      <c r="H1303" t="s">
        <v>3577</v>
      </c>
      <c r="I1303" t="s">
        <v>3578</v>
      </c>
    </row>
    <row r="1304" spans="3:9" x14ac:dyDescent="0.55000000000000004">
      <c r="C1304" s="7"/>
      <c r="E1304" t="s">
        <v>3579</v>
      </c>
      <c r="F1304">
        <v>0</v>
      </c>
      <c r="G1304" t="s">
        <v>3580</v>
      </c>
      <c r="H1304" t="s">
        <v>3581</v>
      </c>
      <c r="I1304" t="s">
        <v>3582</v>
      </c>
    </row>
    <row r="1305" spans="3:9" x14ac:dyDescent="0.55000000000000004">
      <c r="C1305" s="7"/>
      <c r="E1305" t="s">
        <v>3583</v>
      </c>
      <c r="F1305">
        <v>0</v>
      </c>
      <c r="G1305" t="s">
        <v>3584</v>
      </c>
      <c r="H1305" t="s">
        <v>3585</v>
      </c>
      <c r="I1305" t="s">
        <v>3586</v>
      </c>
    </row>
    <row r="1306" spans="3:9" x14ac:dyDescent="0.55000000000000004">
      <c r="C1306" s="7"/>
      <c r="E1306" t="s">
        <v>3587</v>
      </c>
      <c r="F1306">
        <v>0</v>
      </c>
      <c r="G1306" t="s">
        <v>3588</v>
      </c>
      <c r="H1306" t="s">
        <v>3589</v>
      </c>
      <c r="I1306" t="s">
        <v>3590</v>
      </c>
    </row>
    <row r="1307" spans="3:9" x14ac:dyDescent="0.55000000000000004">
      <c r="C1307" s="7"/>
      <c r="E1307" t="s">
        <v>3591</v>
      </c>
      <c r="F1307">
        <v>0</v>
      </c>
      <c r="G1307" t="s">
        <v>3592</v>
      </c>
      <c r="H1307" t="s">
        <v>3593</v>
      </c>
      <c r="I1307" t="s">
        <v>3594</v>
      </c>
    </row>
    <row r="1308" spans="3:9" x14ac:dyDescent="0.55000000000000004">
      <c r="C1308" s="7"/>
      <c r="E1308" t="s">
        <v>3595</v>
      </c>
      <c r="F1308">
        <v>0</v>
      </c>
      <c r="G1308" t="s">
        <v>3596</v>
      </c>
      <c r="H1308" t="s">
        <v>3597</v>
      </c>
      <c r="I1308" t="s">
        <v>3598</v>
      </c>
    </row>
    <row r="1309" spans="3:9" x14ac:dyDescent="0.55000000000000004">
      <c r="C1309" s="7"/>
      <c r="E1309" t="s">
        <v>3603</v>
      </c>
      <c r="F1309">
        <v>0</v>
      </c>
      <c r="G1309" t="s">
        <v>3604</v>
      </c>
      <c r="H1309" t="s">
        <v>3605</v>
      </c>
      <c r="I1309" t="s">
        <v>3606</v>
      </c>
    </row>
    <row r="1310" spans="3:9" x14ac:dyDescent="0.55000000000000004">
      <c r="C1310" s="7"/>
      <c r="E1310" t="s">
        <v>3607</v>
      </c>
      <c r="F1310">
        <v>0</v>
      </c>
      <c r="G1310" t="s">
        <v>3608</v>
      </c>
      <c r="H1310" t="s">
        <v>3609</v>
      </c>
      <c r="I1310" t="s">
        <v>3610</v>
      </c>
    </row>
    <row r="1311" spans="3:9" x14ac:dyDescent="0.55000000000000004">
      <c r="C1311" s="7"/>
      <c r="E1311" t="s">
        <v>3619</v>
      </c>
      <c r="F1311">
        <v>0</v>
      </c>
      <c r="G1311" t="s">
        <v>3620</v>
      </c>
      <c r="H1311" t="s">
        <v>3621</v>
      </c>
      <c r="I1311" t="s">
        <v>3622</v>
      </c>
    </row>
    <row r="1312" spans="3:9" x14ac:dyDescent="0.55000000000000004">
      <c r="C1312" s="7"/>
      <c r="E1312" t="s">
        <v>3623</v>
      </c>
      <c r="F1312">
        <v>0</v>
      </c>
      <c r="G1312" t="s">
        <v>3624</v>
      </c>
      <c r="H1312" t="s">
        <v>3625</v>
      </c>
      <c r="I1312" t="s">
        <v>3626</v>
      </c>
    </row>
    <row r="1313" spans="3:9" x14ac:dyDescent="0.55000000000000004">
      <c r="C1313" s="7"/>
      <c r="E1313" t="s">
        <v>3627</v>
      </c>
      <c r="F1313">
        <v>0</v>
      </c>
      <c r="G1313" t="s">
        <v>3628</v>
      </c>
      <c r="H1313" t="s">
        <v>3629</v>
      </c>
      <c r="I1313" t="s">
        <v>3630</v>
      </c>
    </row>
    <row r="1314" spans="3:9" x14ac:dyDescent="0.55000000000000004">
      <c r="C1314" s="7"/>
      <c r="E1314" t="s">
        <v>3631</v>
      </c>
      <c r="F1314">
        <v>0</v>
      </c>
      <c r="G1314" t="s">
        <v>3632</v>
      </c>
      <c r="H1314" t="s">
        <v>3633</v>
      </c>
      <c r="I1314" t="s">
        <v>3634</v>
      </c>
    </row>
    <row r="1315" spans="3:9" x14ac:dyDescent="0.55000000000000004">
      <c r="C1315" s="7"/>
      <c r="E1315" t="s">
        <v>3639</v>
      </c>
      <c r="F1315">
        <v>0</v>
      </c>
      <c r="G1315" t="s">
        <v>3640</v>
      </c>
      <c r="H1315" t="s">
        <v>3641</v>
      </c>
      <c r="I1315" t="s">
        <v>3642</v>
      </c>
    </row>
    <row r="1316" spans="3:9" x14ac:dyDescent="0.55000000000000004">
      <c r="C1316" s="7"/>
      <c r="E1316" t="s">
        <v>3643</v>
      </c>
      <c r="F1316">
        <v>0</v>
      </c>
      <c r="G1316" t="s">
        <v>3644</v>
      </c>
      <c r="H1316" t="s">
        <v>3645</v>
      </c>
      <c r="I1316" t="s">
        <v>3646</v>
      </c>
    </row>
    <row r="1317" spans="3:9" x14ac:dyDescent="0.55000000000000004">
      <c r="C1317" s="7"/>
      <c r="E1317" t="s">
        <v>3647</v>
      </c>
      <c r="F1317">
        <v>0</v>
      </c>
      <c r="G1317" t="s">
        <v>3648</v>
      </c>
      <c r="H1317" t="s">
        <v>3649</v>
      </c>
      <c r="I1317" t="s">
        <v>3650</v>
      </c>
    </row>
    <row r="1318" spans="3:9" x14ac:dyDescent="0.55000000000000004">
      <c r="C1318" s="7"/>
      <c r="E1318" t="s">
        <v>3651</v>
      </c>
      <c r="F1318">
        <v>0</v>
      </c>
      <c r="G1318" t="s">
        <v>3652</v>
      </c>
      <c r="H1318" t="s">
        <v>3653</v>
      </c>
      <c r="I1318" t="s">
        <v>3654</v>
      </c>
    </row>
    <row r="1319" spans="3:9" x14ac:dyDescent="0.55000000000000004">
      <c r="C1319" s="7"/>
      <c r="E1319" t="s">
        <v>3655</v>
      </c>
      <c r="F1319">
        <v>0</v>
      </c>
      <c r="G1319" t="s">
        <v>3656</v>
      </c>
      <c r="H1319" t="s">
        <v>3657</v>
      </c>
      <c r="I1319" t="s">
        <v>3658</v>
      </c>
    </row>
    <row r="1320" spans="3:9" x14ac:dyDescent="0.55000000000000004">
      <c r="C1320" s="7"/>
      <c r="E1320" t="s">
        <v>3659</v>
      </c>
      <c r="F1320">
        <v>0</v>
      </c>
      <c r="G1320" t="s">
        <v>3660</v>
      </c>
      <c r="H1320" t="s">
        <v>3661</v>
      </c>
      <c r="I1320" t="s">
        <v>3662</v>
      </c>
    </row>
    <row r="1321" spans="3:9" x14ac:dyDescent="0.55000000000000004">
      <c r="C1321" s="7"/>
      <c r="E1321" t="s">
        <v>3663</v>
      </c>
      <c r="F1321">
        <v>0</v>
      </c>
      <c r="G1321" t="s">
        <v>3664</v>
      </c>
      <c r="H1321" t="s">
        <v>3665</v>
      </c>
      <c r="I1321" t="s">
        <v>3666</v>
      </c>
    </row>
    <row r="1322" spans="3:9" x14ac:dyDescent="0.55000000000000004">
      <c r="C1322" s="7"/>
      <c r="E1322" t="s">
        <v>3667</v>
      </c>
      <c r="F1322">
        <v>0</v>
      </c>
      <c r="G1322" t="s">
        <v>3668</v>
      </c>
      <c r="H1322" t="s">
        <v>3669</v>
      </c>
      <c r="I1322" t="s">
        <v>3670</v>
      </c>
    </row>
    <row r="1323" spans="3:9" x14ac:dyDescent="0.55000000000000004">
      <c r="C1323" s="7"/>
      <c r="E1323" t="s">
        <v>3671</v>
      </c>
      <c r="F1323">
        <v>0</v>
      </c>
      <c r="G1323" t="s">
        <v>3672</v>
      </c>
      <c r="H1323" t="s">
        <v>3673</v>
      </c>
      <c r="I1323" t="s">
        <v>3674</v>
      </c>
    </row>
    <row r="1324" spans="3:9" x14ac:dyDescent="0.55000000000000004">
      <c r="C1324" s="7"/>
      <c r="E1324" t="s">
        <v>3675</v>
      </c>
      <c r="F1324">
        <v>0</v>
      </c>
      <c r="G1324" t="s">
        <v>3676</v>
      </c>
      <c r="H1324" t="s">
        <v>3677</v>
      </c>
      <c r="I1324" t="s">
        <v>3678</v>
      </c>
    </row>
    <row r="1325" spans="3:9" x14ac:dyDescent="0.55000000000000004">
      <c r="C1325" s="7"/>
      <c r="E1325" t="s">
        <v>3679</v>
      </c>
      <c r="F1325">
        <v>0</v>
      </c>
      <c r="G1325" t="s">
        <v>3680</v>
      </c>
      <c r="H1325" t="s">
        <v>3681</v>
      </c>
      <c r="I1325" t="s">
        <v>3682</v>
      </c>
    </row>
    <row r="1326" spans="3:9" x14ac:dyDescent="0.55000000000000004">
      <c r="C1326" s="7"/>
      <c r="E1326" t="s">
        <v>3683</v>
      </c>
      <c r="F1326">
        <v>0</v>
      </c>
      <c r="G1326" t="s">
        <v>3684</v>
      </c>
      <c r="H1326" t="s">
        <v>3685</v>
      </c>
      <c r="I1326" t="s">
        <v>3686</v>
      </c>
    </row>
    <row r="1327" spans="3:9" x14ac:dyDescent="0.55000000000000004">
      <c r="C1327" s="7"/>
      <c r="E1327" t="s">
        <v>3687</v>
      </c>
      <c r="F1327">
        <v>0</v>
      </c>
      <c r="G1327" t="s">
        <v>3688</v>
      </c>
      <c r="H1327" t="s">
        <v>3689</v>
      </c>
      <c r="I1327" t="s">
        <v>3690</v>
      </c>
    </row>
    <row r="1328" spans="3:9" x14ac:dyDescent="0.55000000000000004">
      <c r="C1328" s="7"/>
      <c r="E1328" t="s">
        <v>3691</v>
      </c>
      <c r="F1328">
        <v>0</v>
      </c>
      <c r="G1328" t="s">
        <v>3692</v>
      </c>
      <c r="H1328" t="s">
        <v>3693</v>
      </c>
      <c r="I1328" t="s">
        <v>3694</v>
      </c>
    </row>
    <row r="1329" spans="3:9" x14ac:dyDescent="0.55000000000000004">
      <c r="C1329" s="7"/>
      <c r="E1329" t="s">
        <v>3695</v>
      </c>
      <c r="F1329">
        <v>0</v>
      </c>
      <c r="G1329" t="s">
        <v>3696</v>
      </c>
      <c r="H1329" t="s">
        <v>3697</v>
      </c>
      <c r="I1329" t="s">
        <v>3698</v>
      </c>
    </row>
    <row r="1330" spans="3:9" x14ac:dyDescent="0.55000000000000004">
      <c r="C1330" s="7"/>
      <c r="E1330" t="s">
        <v>3699</v>
      </c>
      <c r="F1330">
        <v>0</v>
      </c>
      <c r="G1330" t="s">
        <v>3700</v>
      </c>
      <c r="H1330" t="s">
        <v>3701</v>
      </c>
      <c r="I1330" t="s">
        <v>3702</v>
      </c>
    </row>
    <row r="1331" spans="3:9" x14ac:dyDescent="0.55000000000000004">
      <c r="C1331" s="7"/>
      <c r="E1331" t="s">
        <v>3703</v>
      </c>
      <c r="F1331">
        <v>0</v>
      </c>
      <c r="G1331" t="s">
        <v>3704</v>
      </c>
      <c r="H1331" t="s">
        <v>3705</v>
      </c>
      <c r="I1331" t="s">
        <v>3706</v>
      </c>
    </row>
    <row r="1332" spans="3:9" x14ac:dyDescent="0.55000000000000004">
      <c r="C1332" s="7"/>
      <c r="E1332" t="s">
        <v>3707</v>
      </c>
      <c r="F1332">
        <v>0</v>
      </c>
      <c r="G1332" t="s">
        <v>3708</v>
      </c>
      <c r="H1332" t="s">
        <v>3709</v>
      </c>
      <c r="I1332" t="s">
        <v>3710</v>
      </c>
    </row>
    <row r="1333" spans="3:9" x14ac:dyDescent="0.55000000000000004">
      <c r="C1333" s="7"/>
      <c r="E1333" t="s">
        <v>3711</v>
      </c>
      <c r="F1333">
        <v>0</v>
      </c>
      <c r="G1333" t="s">
        <v>3712</v>
      </c>
      <c r="H1333" t="s">
        <v>3713</v>
      </c>
      <c r="I1333" t="s">
        <v>3714</v>
      </c>
    </row>
    <row r="1334" spans="3:9" x14ac:dyDescent="0.55000000000000004">
      <c r="C1334" s="7"/>
      <c r="E1334" t="s">
        <v>3715</v>
      </c>
      <c r="F1334">
        <v>0</v>
      </c>
      <c r="G1334" t="s">
        <v>3716</v>
      </c>
      <c r="H1334" t="s">
        <v>3717</v>
      </c>
      <c r="I1334" t="s">
        <v>3718</v>
      </c>
    </row>
    <row r="1335" spans="3:9" x14ac:dyDescent="0.55000000000000004">
      <c r="C1335" s="7"/>
      <c r="E1335" t="s">
        <v>3719</v>
      </c>
      <c r="F1335">
        <v>0</v>
      </c>
      <c r="G1335" t="s">
        <v>3720</v>
      </c>
      <c r="H1335" t="s">
        <v>3721</v>
      </c>
      <c r="I1335" t="s">
        <v>3722</v>
      </c>
    </row>
    <row r="1336" spans="3:9" x14ac:dyDescent="0.55000000000000004">
      <c r="C1336" s="7"/>
      <c r="E1336" t="s">
        <v>3723</v>
      </c>
      <c r="F1336">
        <v>0</v>
      </c>
      <c r="G1336" t="s">
        <v>3724</v>
      </c>
      <c r="H1336" t="s">
        <v>3725</v>
      </c>
      <c r="I1336" t="s">
        <v>3726</v>
      </c>
    </row>
    <row r="1337" spans="3:9" x14ac:dyDescent="0.55000000000000004">
      <c r="C1337" s="7"/>
      <c r="E1337" t="s">
        <v>3727</v>
      </c>
      <c r="F1337">
        <v>0</v>
      </c>
      <c r="G1337" t="s">
        <v>3728</v>
      </c>
      <c r="H1337" t="s">
        <v>3729</v>
      </c>
      <c r="I1337" t="s">
        <v>3730</v>
      </c>
    </row>
    <row r="1338" spans="3:9" x14ac:dyDescent="0.55000000000000004">
      <c r="C1338" s="7"/>
      <c r="E1338" t="s">
        <v>3731</v>
      </c>
      <c r="F1338">
        <v>0</v>
      </c>
      <c r="G1338" t="s">
        <v>3732</v>
      </c>
      <c r="H1338" t="s">
        <v>3733</v>
      </c>
      <c r="I1338" t="s">
        <v>3734</v>
      </c>
    </row>
    <row r="1339" spans="3:9" x14ac:dyDescent="0.55000000000000004">
      <c r="C1339" s="7"/>
      <c r="E1339" t="s">
        <v>3738</v>
      </c>
      <c r="F1339">
        <v>0</v>
      </c>
      <c r="G1339" t="s">
        <v>3739</v>
      </c>
      <c r="H1339" t="s">
        <v>3740</v>
      </c>
      <c r="I1339" t="s">
        <v>3741</v>
      </c>
    </row>
    <row r="1340" spans="3:9" x14ac:dyDescent="0.55000000000000004">
      <c r="C1340" s="7"/>
      <c r="E1340" t="s">
        <v>3742</v>
      </c>
      <c r="F1340">
        <v>0</v>
      </c>
      <c r="G1340" t="s">
        <v>3743</v>
      </c>
      <c r="H1340" t="s">
        <v>3744</v>
      </c>
      <c r="I1340" t="s">
        <v>3745</v>
      </c>
    </row>
    <row r="1341" spans="3:9" x14ac:dyDescent="0.55000000000000004">
      <c r="C1341" s="7"/>
      <c r="E1341" t="s">
        <v>3746</v>
      </c>
      <c r="F1341">
        <v>0</v>
      </c>
      <c r="G1341" t="s">
        <v>3747</v>
      </c>
      <c r="H1341" t="s">
        <v>3748</v>
      </c>
      <c r="I1341" t="s">
        <v>3749</v>
      </c>
    </row>
    <row r="1342" spans="3:9" x14ac:dyDescent="0.55000000000000004">
      <c r="C1342" s="7"/>
      <c r="E1342" t="s">
        <v>3754</v>
      </c>
      <c r="F1342">
        <v>0</v>
      </c>
      <c r="G1342" t="s">
        <v>3755</v>
      </c>
      <c r="H1342" t="s">
        <v>3756</v>
      </c>
      <c r="I1342" t="s">
        <v>3757</v>
      </c>
    </row>
    <row r="1343" spans="3:9" x14ac:dyDescent="0.55000000000000004">
      <c r="C1343" s="7"/>
      <c r="E1343" t="s">
        <v>3758</v>
      </c>
      <c r="F1343">
        <v>0</v>
      </c>
      <c r="G1343" t="s">
        <v>3759</v>
      </c>
      <c r="H1343" t="s">
        <v>3760</v>
      </c>
      <c r="I1343" t="s">
        <v>3761</v>
      </c>
    </row>
    <row r="1344" spans="3:9" x14ac:dyDescent="0.55000000000000004">
      <c r="C1344" s="7"/>
      <c r="E1344" t="s">
        <v>3778</v>
      </c>
      <c r="F1344">
        <v>0</v>
      </c>
      <c r="G1344" t="s">
        <v>3779</v>
      </c>
      <c r="H1344" t="s">
        <v>3780</v>
      </c>
      <c r="I1344" t="s">
        <v>3781</v>
      </c>
    </row>
    <row r="1345" spans="3:9" x14ac:dyDescent="0.55000000000000004">
      <c r="C1345" s="7"/>
      <c r="E1345" t="s">
        <v>3790</v>
      </c>
      <c r="F1345">
        <v>0</v>
      </c>
      <c r="G1345" t="s">
        <v>3791</v>
      </c>
      <c r="H1345" t="s">
        <v>3792</v>
      </c>
      <c r="I1345" t="s">
        <v>3793</v>
      </c>
    </row>
    <row r="1346" spans="3:9" x14ac:dyDescent="0.55000000000000004">
      <c r="C1346" s="7"/>
      <c r="E1346" t="s">
        <v>3794</v>
      </c>
      <c r="F1346">
        <v>0</v>
      </c>
      <c r="G1346" t="s">
        <v>3795</v>
      </c>
      <c r="H1346" t="s">
        <v>3796</v>
      </c>
      <c r="I1346" t="s">
        <v>3797</v>
      </c>
    </row>
    <row r="1347" spans="3:9" x14ac:dyDescent="0.55000000000000004">
      <c r="C1347" s="7"/>
      <c r="E1347" t="s">
        <v>3798</v>
      </c>
      <c r="F1347">
        <v>0</v>
      </c>
      <c r="G1347" t="s">
        <v>3799</v>
      </c>
      <c r="H1347" t="s">
        <v>3800</v>
      </c>
      <c r="I1347" t="s">
        <v>3801</v>
      </c>
    </row>
    <row r="1348" spans="3:9" x14ac:dyDescent="0.55000000000000004">
      <c r="C1348" s="7"/>
      <c r="E1348" t="s">
        <v>3802</v>
      </c>
      <c r="F1348">
        <v>0</v>
      </c>
      <c r="G1348" t="s">
        <v>3803</v>
      </c>
      <c r="H1348" t="s">
        <v>3804</v>
      </c>
      <c r="I1348" t="s">
        <v>3805</v>
      </c>
    </row>
    <row r="1349" spans="3:9" x14ac:dyDescent="0.55000000000000004">
      <c r="C1349" s="7"/>
      <c r="E1349" t="s">
        <v>3806</v>
      </c>
      <c r="F1349">
        <v>0</v>
      </c>
      <c r="G1349" t="s">
        <v>3807</v>
      </c>
      <c r="H1349" t="s">
        <v>3808</v>
      </c>
      <c r="I1349" t="s">
        <v>3809</v>
      </c>
    </row>
    <row r="1350" spans="3:9" x14ac:dyDescent="0.55000000000000004">
      <c r="C1350" s="7"/>
      <c r="E1350" t="s">
        <v>3822</v>
      </c>
      <c r="F1350">
        <v>0</v>
      </c>
      <c r="G1350" t="s">
        <v>3823</v>
      </c>
      <c r="H1350" t="s">
        <v>3824</v>
      </c>
      <c r="I1350" t="s">
        <v>3825</v>
      </c>
    </row>
    <row r="1351" spans="3:9" x14ac:dyDescent="0.55000000000000004">
      <c r="C1351" s="7"/>
      <c r="E1351" t="s">
        <v>3826</v>
      </c>
      <c r="F1351">
        <v>0</v>
      </c>
      <c r="G1351" t="s">
        <v>3827</v>
      </c>
      <c r="H1351" t="s">
        <v>3828</v>
      </c>
      <c r="I1351" t="s">
        <v>3829</v>
      </c>
    </row>
    <row r="1352" spans="3:9" x14ac:dyDescent="0.55000000000000004">
      <c r="C1352" s="7"/>
      <c r="E1352" t="s">
        <v>3830</v>
      </c>
      <c r="F1352">
        <v>0</v>
      </c>
      <c r="G1352" t="s">
        <v>3831</v>
      </c>
      <c r="H1352" t="s">
        <v>3832</v>
      </c>
      <c r="I1352" t="s">
        <v>3833</v>
      </c>
    </row>
    <row r="1353" spans="3:9" x14ac:dyDescent="0.55000000000000004">
      <c r="C1353" s="7"/>
      <c r="E1353" t="s">
        <v>3834</v>
      </c>
      <c r="F1353">
        <v>0</v>
      </c>
      <c r="G1353" t="s">
        <v>3835</v>
      </c>
      <c r="H1353" t="s">
        <v>3836</v>
      </c>
      <c r="I1353" t="s">
        <v>3837</v>
      </c>
    </row>
    <row r="1354" spans="3:9" x14ac:dyDescent="0.55000000000000004">
      <c r="C1354" s="7"/>
      <c r="E1354" t="s">
        <v>3838</v>
      </c>
      <c r="F1354">
        <v>0</v>
      </c>
      <c r="G1354" t="s">
        <v>3839</v>
      </c>
      <c r="H1354" t="s">
        <v>3840</v>
      </c>
      <c r="I1354" t="s">
        <v>3841</v>
      </c>
    </row>
    <row r="1355" spans="3:9" x14ac:dyDescent="0.55000000000000004">
      <c r="C1355" s="7"/>
      <c r="E1355" t="s">
        <v>3842</v>
      </c>
      <c r="F1355">
        <v>0</v>
      </c>
      <c r="G1355" t="s">
        <v>3843</v>
      </c>
      <c r="H1355" t="s">
        <v>3844</v>
      </c>
      <c r="I1355" t="s">
        <v>3845</v>
      </c>
    </row>
    <row r="1356" spans="3:9" x14ac:dyDescent="0.55000000000000004">
      <c r="C1356" s="7"/>
      <c r="E1356" t="s">
        <v>3846</v>
      </c>
      <c r="F1356">
        <v>0</v>
      </c>
      <c r="G1356" t="s">
        <v>3847</v>
      </c>
      <c r="H1356" t="s">
        <v>3848</v>
      </c>
      <c r="I1356" t="s">
        <v>3849</v>
      </c>
    </row>
    <row r="1357" spans="3:9" x14ac:dyDescent="0.55000000000000004">
      <c r="C1357" s="7"/>
      <c r="E1357" t="s">
        <v>3860</v>
      </c>
      <c r="F1357">
        <v>0</v>
      </c>
      <c r="G1357" t="s">
        <v>3861</v>
      </c>
      <c r="H1357" t="s">
        <v>3862</v>
      </c>
      <c r="I1357" t="s">
        <v>3859</v>
      </c>
    </row>
    <row r="1358" spans="3:9" x14ac:dyDescent="0.55000000000000004">
      <c r="C1358" s="7"/>
      <c r="E1358" t="s">
        <v>3863</v>
      </c>
      <c r="F1358">
        <v>1</v>
      </c>
      <c r="G1358" t="s">
        <v>3864</v>
      </c>
      <c r="H1358" t="s">
        <v>3862</v>
      </c>
      <c r="I1358" t="s">
        <v>3859</v>
      </c>
    </row>
    <row r="1359" spans="3:9" x14ac:dyDescent="0.55000000000000004">
      <c r="C1359" s="7"/>
      <c r="E1359" t="s">
        <v>3865</v>
      </c>
      <c r="F1359">
        <v>2</v>
      </c>
      <c r="G1359" t="s">
        <v>3866</v>
      </c>
      <c r="H1359" t="s">
        <v>3862</v>
      </c>
      <c r="I1359" t="s">
        <v>3859</v>
      </c>
    </row>
    <row r="1360" spans="3:9" x14ac:dyDescent="0.55000000000000004">
      <c r="C1360" s="7"/>
      <c r="E1360" t="s">
        <v>3867</v>
      </c>
      <c r="F1360">
        <v>3</v>
      </c>
      <c r="G1360" t="s">
        <v>3868</v>
      </c>
      <c r="H1360" t="s">
        <v>3862</v>
      </c>
      <c r="I1360" t="s">
        <v>3859</v>
      </c>
    </row>
    <row r="1361" spans="3:9" x14ac:dyDescent="0.55000000000000004">
      <c r="C1361" s="7"/>
      <c r="E1361" t="s">
        <v>3869</v>
      </c>
      <c r="F1361">
        <v>4</v>
      </c>
      <c r="G1361" t="s">
        <v>3870</v>
      </c>
      <c r="H1361" t="s">
        <v>3862</v>
      </c>
      <c r="I1361" t="s">
        <v>3859</v>
      </c>
    </row>
    <row r="1362" spans="3:9" x14ac:dyDescent="0.55000000000000004">
      <c r="C1362" s="7"/>
      <c r="E1362" t="s">
        <v>3871</v>
      </c>
      <c r="F1362">
        <v>5</v>
      </c>
      <c r="G1362" t="s">
        <v>3872</v>
      </c>
      <c r="H1362" t="s">
        <v>3862</v>
      </c>
      <c r="I1362" t="s">
        <v>3859</v>
      </c>
    </row>
    <row r="1363" spans="3:9" x14ac:dyDescent="0.55000000000000004">
      <c r="C1363" s="7"/>
      <c r="E1363" t="s">
        <v>3873</v>
      </c>
      <c r="F1363">
        <v>6</v>
      </c>
      <c r="G1363" t="s">
        <v>3874</v>
      </c>
      <c r="H1363" t="s">
        <v>3862</v>
      </c>
      <c r="I1363" t="s">
        <v>3859</v>
      </c>
    </row>
    <row r="1364" spans="3:9" x14ac:dyDescent="0.55000000000000004">
      <c r="C1364" s="7"/>
      <c r="E1364" t="s">
        <v>3875</v>
      </c>
      <c r="F1364">
        <v>7</v>
      </c>
      <c r="G1364" t="s">
        <v>3876</v>
      </c>
      <c r="H1364" t="s">
        <v>3862</v>
      </c>
      <c r="I1364" t="s">
        <v>3859</v>
      </c>
    </row>
    <row r="1365" spans="3:9" x14ac:dyDescent="0.55000000000000004">
      <c r="C1365" s="7"/>
      <c r="E1365" t="s">
        <v>3877</v>
      </c>
      <c r="F1365">
        <v>8</v>
      </c>
      <c r="G1365" t="s">
        <v>3878</v>
      </c>
      <c r="H1365" t="s">
        <v>3862</v>
      </c>
      <c r="I1365" t="s">
        <v>3859</v>
      </c>
    </row>
    <row r="1366" spans="3:9" x14ac:dyDescent="0.55000000000000004">
      <c r="C1366" s="7"/>
      <c r="E1366" t="s">
        <v>3879</v>
      </c>
      <c r="F1366">
        <v>9</v>
      </c>
      <c r="G1366" t="s">
        <v>3880</v>
      </c>
      <c r="H1366" t="s">
        <v>3862</v>
      </c>
      <c r="I1366" t="s">
        <v>3859</v>
      </c>
    </row>
    <row r="1367" spans="3:9" x14ac:dyDescent="0.55000000000000004">
      <c r="C1367" s="7"/>
      <c r="E1367" t="s">
        <v>3881</v>
      </c>
      <c r="F1367">
        <v>10</v>
      </c>
      <c r="G1367" t="s">
        <v>3882</v>
      </c>
      <c r="H1367" t="s">
        <v>3862</v>
      </c>
      <c r="I1367" t="s">
        <v>3859</v>
      </c>
    </row>
    <row r="1368" spans="3:9" x14ac:dyDescent="0.55000000000000004">
      <c r="C1368" s="7"/>
      <c r="E1368" t="s">
        <v>3883</v>
      </c>
      <c r="F1368">
        <v>11</v>
      </c>
      <c r="G1368" t="s">
        <v>3884</v>
      </c>
      <c r="H1368" t="s">
        <v>3862</v>
      </c>
      <c r="I1368" t="s">
        <v>3859</v>
      </c>
    </row>
    <row r="1369" spans="3:9" x14ac:dyDescent="0.55000000000000004">
      <c r="C1369" s="7"/>
      <c r="E1369" t="s">
        <v>3885</v>
      </c>
      <c r="F1369">
        <v>12</v>
      </c>
      <c r="G1369" t="s">
        <v>3886</v>
      </c>
      <c r="H1369" t="s">
        <v>3862</v>
      </c>
      <c r="I1369" t="s">
        <v>3859</v>
      </c>
    </row>
    <row r="1370" spans="3:9" x14ac:dyDescent="0.55000000000000004">
      <c r="C1370" s="7"/>
      <c r="E1370" t="s">
        <v>3887</v>
      </c>
      <c r="F1370">
        <v>13</v>
      </c>
      <c r="G1370" t="s">
        <v>3888</v>
      </c>
      <c r="H1370" t="s">
        <v>3862</v>
      </c>
      <c r="I1370" t="s">
        <v>3859</v>
      </c>
    </row>
    <row r="1371" spans="3:9" x14ac:dyDescent="0.55000000000000004">
      <c r="C1371" s="7"/>
      <c r="E1371" t="s">
        <v>3889</v>
      </c>
      <c r="F1371">
        <v>14</v>
      </c>
      <c r="G1371" t="s">
        <v>3890</v>
      </c>
      <c r="H1371" t="s">
        <v>3862</v>
      </c>
      <c r="I1371" t="s">
        <v>3859</v>
      </c>
    </row>
    <row r="1372" spans="3:9" x14ac:dyDescent="0.55000000000000004">
      <c r="C1372" s="7"/>
      <c r="E1372" t="s">
        <v>3891</v>
      </c>
      <c r="F1372">
        <v>15</v>
      </c>
      <c r="G1372" t="s">
        <v>3892</v>
      </c>
      <c r="H1372" t="s">
        <v>3862</v>
      </c>
      <c r="I1372" t="s">
        <v>3859</v>
      </c>
    </row>
    <row r="1373" spans="3:9" x14ac:dyDescent="0.55000000000000004">
      <c r="C1373" s="7"/>
      <c r="E1373" t="s">
        <v>3893</v>
      </c>
      <c r="F1373">
        <v>16</v>
      </c>
      <c r="G1373" t="s">
        <v>3894</v>
      </c>
      <c r="H1373" t="s">
        <v>3862</v>
      </c>
      <c r="I1373" t="s">
        <v>3859</v>
      </c>
    </row>
    <row r="1374" spans="3:9" x14ac:dyDescent="0.55000000000000004">
      <c r="C1374" s="7"/>
      <c r="E1374" t="s">
        <v>3895</v>
      </c>
      <c r="F1374">
        <v>17</v>
      </c>
      <c r="G1374" t="s">
        <v>3896</v>
      </c>
      <c r="H1374" t="s">
        <v>3862</v>
      </c>
      <c r="I1374" t="s">
        <v>3859</v>
      </c>
    </row>
    <row r="1375" spans="3:9" x14ac:dyDescent="0.55000000000000004">
      <c r="C1375" s="7"/>
      <c r="E1375" t="s">
        <v>3897</v>
      </c>
      <c r="F1375">
        <v>18</v>
      </c>
      <c r="G1375" t="s">
        <v>3898</v>
      </c>
      <c r="H1375" t="s">
        <v>3862</v>
      </c>
      <c r="I1375" t="s">
        <v>3859</v>
      </c>
    </row>
    <row r="1376" spans="3:9" x14ac:dyDescent="0.55000000000000004">
      <c r="C1376" s="7"/>
      <c r="E1376" t="s">
        <v>3899</v>
      </c>
      <c r="F1376">
        <v>19</v>
      </c>
      <c r="G1376" t="s">
        <v>3900</v>
      </c>
      <c r="H1376" t="s">
        <v>3862</v>
      </c>
      <c r="I1376" t="s">
        <v>3859</v>
      </c>
    </row>
    <row r="1377" spans="3:9" x14ac:dyDescent="0.55000000000000004">
      <c r="C1377" s="7"/>
      <c r="E1377" t="s">
        <v>3901</v>
      </c>
      <c r="F1377">
        <v>20</v>
      </c>
      <c r="G1377" t="s">
        <v>3902</v>
      </c>
      <c r="H1377" t="s">
        <v>3862</v>
      </c>
      <c r="I1377" t="s">
        <v>3859</v>
      </c>
    </row>
    <row r="1378" spans="3:9" x14ac:dyDescent="0.55000000000000004">
      <c r="C1378" s="7"/>
      <c r="E1378" t="s">
        <v>3903</v>
      </c>
      <c r="F1378">
        <v>21</v>
      </c>
      <c r="G1378" t="s">
        <v>3904</v>
      </c>
      <c r="H1378" t="s">
        <v>3862</v>
      </c>
      <c r="I1378" t="s">
        <v>3859</v>
      </c>
    </row>
    <row r="1379" spans="3:9" x14ac:dyDescent="0.55000000000000004">
      <c r="C1379" s="7"/>
      <c r="E1379" t="s">
        <v>3906</v>
      </c>
      <c r="F1379">
        <v>0</v>
      </c>
      <c r="G1379" t="s">
        <v>3907</v>
      </c>
      <c r="H1379" t="s">
        <v>3908</v>
      </c>
      <c r="I1379" t="s">
        <v>3905</v>
      </c>
    </row>
    <row r="1380" spans="3:9" x14ac:dyDescent="0.55000000000000004">
      <c r="C1380" s="7"/>
      <c r="E1380" t="s">
        <v>3909</v>
      </c>
      <c r="F1380">
        <v>1</v>
      </c>
      <c r="G1380" t="s">
        <v>3864</v>
      </c>
      <c r="H1380" t="s">
        <v>3908</v>
      </c>
      <c r="I1380" t="s">
        <v>3905</v>
      </c>
    </row>
    <row r="1381" spans="3:9" x14ac:dyDescent="0.55000000000000004">
      <c r="C1381" s="7"/>
      <c r="E1381" t="s">
        <v>3910</v>
      </c>
      <c r="F1381">
        <v>2</v>
      </c>
      <c r="G1381" t="s">
        <v>3911</v>
      </c>
      <c r="H1381" t="s">
        <v>3908</v>
      </c>
      <c r="I1381" t="s">
        <v>3905</v>
      </c>
    </row>
    <row r="1382" spans="3:9" x14ac:dyDescent="0.55000000000000004">
      <c r="C1382" s="7"/>
      <c r="E1382" t="s">
        <v>3912</v>
      </c>
      <c r="F1382">
        <v>3</v>
      </c>
      <c r="G1382" t="s">
        <v>3913</v>
      </c>
      <c r="H1382" t="s">
        <v>3908</v>
      </c>
      <c r="I1382" t="s">
        <v>3905</v>
      </c>
    </row>
    <row r="1383" spans="3:9" x14ac:dyDescent="0.55000000000000004">
      <c r="C1383" s="7"/>
      <c r="E1383" t="s">
        <v>3914</v>
      </c>
      <c r="F1383">
        <v>4</v>
      </c>
      <c r="G1383" t="s">
        <v>3915</v>
      </c>
      <c r="H1383" t="s">
        <v>3908</v>
      </c>
      <c r="I1383" t="s">
        <v>3905</v>
      </c>
    </row>
    <row r="1384" spans="3:9" x14ac:dyDescent="0.55000000000000004">
      <c r="C1384" s="7"/>
      <c r="E1384" t="s">
        <v>3916</v>
      </c>
      <c r="F1384">
        <v>5</v>
      </c>
      <c r="G1384" t="s">
        <v>3917</v>
      </c>
      <c r="H1384" t="s">
        <v>3908</v>
      </c>
      <c r="I1384" t="s">
        <v>3905</v>
      </c>
    </row>
    <row r="1385" spans="3:9" x14ac:dyDescent="0.55000000000000004">
      <c r="C1385" s="7"/>
      <c r="E1385" t="s">
        <v>3918</v>
      </c>
      <c r="F1385">
        <v>6</v>
      </c>
      <c r="G1385" t="s">
        <v>3902</v>
      </c>
      <c r="H1385" t="s">
        <v>3908</v>
      </c>
      <c r="I1385" t="s">
        <v>3905</v>
      </c>
    </row>
    <row r="1386" spans="3:9" x14ac:dyDescent="0.55000000000000004">
      <c r="C1386" s="7"/>
      <c r="E1386" t="s">
        <v>3919</v>
      </c>
      <c r="F1386">
        <v>7</v>
      </c>
      <c r="G1386" t="s">
        <v>3920</v>
      </c>
      <c r="H1386" t="s">
        <v>3908</v>
      </c>
      <c r="I1386" t="s">
        <v>3905</v>
      </c>
    </row>
    <row r="1387" spans="3:9" x14ac:dyDescent="0.55000000000000004">
      <c r="C1387" s="7"/>
      <c r="E1387" t="s">
        <v>3921</v>
      </c>
      <c r="F1387">
        <v>8</v>
      </c>
      <c r="G1387" t="s">
        <v>3922</v>
      </c>
      <c r="H1387" t="s">
        <v>3908</v>
      </c>
      <c r="I1387" t="s">
        <v>3905</v>
      </c>
    </row>
    <row r="1388" spans="3:9" x14ac:dyDescent="0.55000000000000004">
      <c r="C1388" s="7"/>
      <c r="E1388" t="s">
        <v>3923</v>
      </c>
      <c r="F1388">
        <v>9</v>
      </c>
      <c r="G1388" t="s">
        <v>3924</v>
      </c>
      <c r="H1388" t="s">
        <v>3908</v>
      </c>
      <c r="I1388" t="s">
        <v>3905</v>
      </c>
    </row>
    <row r="1389" spans="3:9" x14ac:dyDescent="0.55000000000000004">
      <c r="C1389" s="7"/>
      <c r="E1389" t="s">
        <v>3925</v>
      </c>
      <c r="F1389">
        <v>10</v>
      </c>
      <c r="G1389" t="s">
        <v>3926</v>
      </c>
      <c r="H1389" t="s">
        <v>3908</v>
      </c>
      <c r="I1389" t="s">
        <v>3905</v>
      </c>
    </row>
    <row r="1390" spans="3:9" x14ac:dyDescent="0.55000000000000004">
      <c r="C1390" s="7"/>
      <c r="E1390" t="s">
        <v>3927</v>
      </c>
      <c r="F1390">
        <v>11</v>
      </c>
      <c r="G1390" t="s">
        <v>3928</v>
      </c>
      <c r="H1390" t="s">
        <v>3908</v>
      </c>
      <c r="I1390" t="s">
        <v>3905</v>
      </c>
    </row>
    <row r="1391" spans="3:9" x14ac:dyDescent="0.55000000000000004">
      <c r="C1391" s="7"/>
      <c r="E1391" t="s">
        <v>3930</v>
      </c>
      <c r="F1391">
        <v>1</v>
      </c>
      <c r="G1391" t="s">
        <v>3931</v>
      </c>
      <c r="H1391" t="s">
        <v>3908</v>
      </c>
      <c r="I1391" t="s">
        <v>3929</v>
      </c>
    </row>
    <row r="1392" spans="3:9" x14ac:dyDescent="0.55000000000000004">
      <c r="C1392" s="7"/>
      <c r="E1392" t="s">
        <v>3932</v>
      </c>
      <c r="F1392">
        <v>2</v>
      </c>
      <c r="G1392" t="s">
        <v>3933</v>
      </c>
      <c r="H1392" t="s">
        <v>3908</v>
      </c>
      <c r="I1392" t="s">
        <v>3929</v>
      </c>
    </row>
    <row r="1393" spans="3:9" x14ac:dyDescent="0.55000000000000004">
      <c r="C1393" s="7"/>
      <c r="E1393" t="s">
        <v>3934</v>
      </c>
      <c r="F1393">
        <v>3</v>
      </c>
      <c r="G1393" t="s">
        <v>3935</v>
      </c>
      <c r="H1393" t="s">
        <v>3908</v>
      </c>
      <c r="I1393" t="s">
        <v>3929</v>
      </c>
    </row>
    <row r="1394" spans="3:9" x14ac:dyDescent="0.55000000000000004">
      <c r="C1394" s="7"/>
      <c r="E1394" t="s">
        <v>3936</v>
      </c>
      <c r="F1394">
        <v>4</v>
      </c>
      <c r="G1394" t="s">
        <v>3937</v>
      </c>
      <c r="H1394" t="s">
        <v>3908</v>
      </c>
      <c r="I1394" t="s">
        <v>3929</v>
      </c>
    </row>
    <row r="1395" spans="3:9" x14ac:dyDescent="0.55000000000000004">
      <c r="C1395" s="7"/>
      <c r="E1395" t="s">
        <v>3939</v>
      </c>
      <c r="F1395">
        <v>0</v>
      </c>
      <c r="G1395" t="s">
        <v>3940</v>
      </c>
      <c r="H1395" t="s">
        <v>3908</v>
      </c>
      <c r="I1395" t="s">
        <v>3938</v>
      </c>
    </row>
    <row r="1396" spans="3:9" x14ac:dyDescent="0.55000000000000004">
      <c r="C1396" s="7"/>
      <c r="E1396" t="s">
        <v>3941</v>
      </c>
      <c r="F1396">
        <v>1</v>
      </c>
      <c r="G1396" t="s">
        <v>3942</v>
      </c>
      <c r="H1396" t="s">
        <v>3908</v>
      </c>
      <c r="I1396" t="s">
        <v>3938</v>
      </c>
    </row>
    <row r="1397" spans="3:9" x14ac:dyDescent="0.55000000000000004">
      <c r="C1397" s="7"/>
      <c r="E1397" t="s">
        <v>3943</v>
      </c>
      <c r="F1397">
        <v>2</v>
      </c>
      <c r="G1397" t="s">
        <v>3944</v>
      </c>
      <c r="H1397" t="s">
        <v>3908</v>
      </c>
      <c r="I1397" t="s">
        <v>3938</v>
      </c>
    </row>
    <row r="1398" spans="3:9" x14ac:dyDescent="0.55000000000000004">
      <c r="C1398" s="7"/>
      <c r="E1398" t="s">
        <v>3946</v>
      </c>
      <c r="F1398">
        <v>0</v>
      </c>
      <c r="G1398" t="s">
        <v>3947</v>
      </c>
      <c r="H1398" t="s">
        <v>3948</v>
      </c>
      <c r="I1398" t="s">
        <v>3945</v>
      </c>
    </row>
    <row r="1399" spans="3:9" x14ac:dyDescent="0.55000000000000004">
      <c r="C1399" s="7"/>
      <c r="E1399" t="s">
        <v>3949</v>
      </c>
      <c r="F1399">
        <v>1</v>
      </c>
      <c r="G1399" t="s">
        <v>3950</v>
      </c>
      <c r="H1399" t="s">
        <v>3948</v>
      </c>
      <c r="I1399" t="s">
        <v>3945</v>
      </c>
    </row>
    <row r="1400" spans="3:9" x14ac:dyDescent="0.55000000000000004">
      <c r="C1400" s="7"/>
      <c r="E1400" t="s">
        <v>3951</v>
      </c>
      <c r="F1400">
        <v>2</v>
      </c>
      <c r="G1400" t="s">
        <v>3952</v>
      </c>
      <c r="H1400" t="s">
        <v>3948</v>
      </c>
      <c r="I1400" t="s">
        <v>3945</v>
      </c>
    </row>
    <row r="1401" spans="3:9" x14ac:dyDescent="0.55000000000000004">
      <c r="C1401" s="7"/>
      <c r="E1401" t="s">
        <v>3954</v>
      </c>
      <c r="F1401">
        <v>0</v>
      </c>
      <c r="G1401" t="s">
        <v>3955</v>
      </c>
      <c r="H1401" t="s">
        <v>3948</v>
      </c>
      <c r="I1401" t="s">
        <v>3953</v>
      </c>
    </row>
    <row r="1402" spans="3:9" x14ac:dyDescent="0.55000000000000004">
      <c r="C1402" s="7"/>
      <c r="E1402" t="s">
        <v>3956</v>
      </c>
      <c r="F1402">
        <v>1</v>
      </c>
      <c r="G1402" t="s">
        <v>3957</v>
      </c>
      <c r="H1402" t="s">
        <v>3948</v>
      </c>
      <c r="I1402" t="s">
        <v>3953</v>
      </c>
    </row>
    <row r="1403" spans="3:9" x14ac:dyDescent="0.55000000000000004">
      <c r="C1403" s="7"/>
      <c r="E1403" t="s">
        <v>3958</v>
      </c>
      <c r="F1403">
        <v>2</v>
      </c>
      <c r="G1403" t="s">
        <v>3959</v>
      </c>
      <c r="H1403" t="s">
        <v>3948</v>
      </c>
      <c r="I1403" t="s">
        <v>3953</v>
      </c>
    </row>
    <row r="1404" spans="3:9" x14ac:dyDescent="0.55000000000000004">
      <c r="C1404" s="7"/>
      <c r="E1404" t="s">
        <v>3960</v>
      </c>
      <c r="F1404">
        <v>3</v>
      </c>
      <c r="G1404" t="s">
        <v>3961</v>
      </c>
      <c r="H1404" t="s">
        <v>3948</v>
      </c>
      <c r="I1404" t="s">
        <v>3953</v>
      </c>
    </row>
    <row r="1405" spans="3:9" x14ac:dyDescent="0.55000000000000004">
      <c r="C1405" s="7"/>
      <c r="E1405" t="s">
        <v>3962</v>
      </c>
      <c r="F1405">
        <v>4</v>
      </c>
      <c r="G1405" t="s">
        <v>3963</v>
      </c>
      <c r="H1405" t="s">
        <v>3948</v>
      </c>
      <c r="I1405" t="s">
        <v>3953</v>
      </c>
    </row>
    <row r="1406" spans="3:9" x14ac:dyDescent="0.55000000000000004">
      <c r="C1406" s="7"/>
      <c r="E1406" t="s">
        <v>3964</v>
      </c>
      <c r="F1406">
        <v>0</v>
      </c>
      <c r="G1406" t="s">
        <v>3965</v>
      </c>
      <c r="H1406" t="s">
        <v>3948</v>
      </c>
      <c r="I1406" t="s">
        <v>3966</v>
      </c>
    </row>
    <row r="1407" spans="3:9" x14ac:dyDescent="0.55000000000000004">
      <c r="C1407" s="7"/>
      <c r="E1407" t="s">
        <v>3967</v>
      </c>
      <c r="F1407">
        <v>0</v>
      </c>
      <c r="G1407" t="s">
        <v>3968</v>
      </c>
      <c r="H1407" t="s">
        <v>3948</v>
      </c>
      <c r="I1407" t="s">
        <v>3969</v>
      </c>
    </row>
    <row r="1408" spans="3:9" x14ac:dyDescent="0.55000000000000004">
      <c r="C1408" s="7"/>
      <c r="E1408" t="s">
        <v>3970</v>
      </c>
      <c r="F1408">
        <v>0</v>
      </c>
      <c r="G1408" t="s">
        <v>3971</v>
      </c>
      <c r="H1408" t="s">
        <v>3948</v>
      </c>
      <c r="I1408" t="s">
        <v>3972</v>
      </c>
    </row>
    <row r="1409" spans="3:9" x14ac:dyDescent="0.55000000000000004">
      <c r="C1409" s="7"/>
      <c r="E1409" t="s">
        <v>3973</v>
      </c>
      <c r="F1409">
        <v>0</v>
      </c>
      <c r="G1409" t="s">
        <v>3974</v>
      </c>
      <c r="H1409" t="s">
        <v>3948</v>
      </c>
      <c r="I1409" t="s">
        <v>3975</v>
      </c>
    </row>
    <row r="1410" spans="3:9" x14ac:dyDescent="0.55000000000000004">
      <c r="C1410" s="7"/>
      <c r="E1410" t="s">
        <v>3976</v>
      </c>
      <c r="F1410">
        <v>0</v>
      </c>
      <c r="G1410" t="s">
        <v>3977</v>
      </c>
      <c r="H1410" t="s">
        <v>3978</v>
      </c>
      <c r="I1410" t="s">
        <v>3979</v>
      </c>
    </row>
    <row r="1411" spans="3:9" x14ac:dyDescent="0.55000000000000004">
      <c r="C1411" s="7"/>
      <c r="E1411" t="s">
        <v>3980</v>
      </c>
      <c r="F1411">
        <v>0</v>
      </c>
      <c r="G1411" t="s">
        <v>3981</v>
      </c>
      <c r="H1411" t="s">
        <v>3982</v>
      </c>
      <c r="I1411" t="s">
        <v>3983</v>
      </c>
    </row>
    <row r="1412" spans="3:9" x14ac:dyDescent="0.55000000000000004">
      <c r="C1412" s="7"/>
      <c r="E1412" t="s">
        <v>3984</v>
      </c>
      <c r="F1412">
        <v>0</v>
      </c>
      <c r="G1412" t="s">
        <v>3985</v>
      </c>
      <c r="H1412" t="s">
        <v>3986</v>
      </c>
      <c r="I1412" t="s">
        <v>3987</v>
      </c>
    </row>
    <row r="1413" spans="3:9" x14ac:dyDescent="0.55000000000000004">
      <c r="C1413" s="7"/>
      <c r="E1413" t="s">
        <v>3988</v>
      </c>
      <c r="F1413">
        <v>0</v>
      </c>
      <c r="G1413" t="s">
        <v>3858</v>
      </c>
      <c r="H1413" t="s">
        <v>3989</v>
      </c>
      <c r="I1413" t="s">
        <v>3990</v>
      </c>
    </row>
    <row r="1414" spans="3:9" x14ac:dyDescent="0.55000000000000004">
      <c r="C1414" s="7"/>
      <c r="E1414" t="s">
        <v>3991</v>
      </c>
      <c r="F1414">
        <v>0</v>
      </c>
      <c r="G1414" t="s">
        <v>3992</v>
      </c>
      <c r="H1414" t="s">
        <v>3993</v>
      </c>
      <c r="I1414" t="s">
        <v>3994</v>
      </c>
    </row>
    <row r="1415" spans="3:9" x14ac:dyDescent="0.55000000000000004">
      <c r="C1415" s="7"/>
      <c r="E1415" t="s">
        <v>3995</v>
      </c>
      <c r="F1415">
        <v>0</v>
      </c>
      <c r="G1415" t="s">
        <v>3996</v>
      </c>
      <c r="H1415" t="s">
        <v>3997</v>
      </c>
      <c r="I1415" t="s">
        <v>3998</v>
      </c>
    </row>
    <row r="1416" spans="3:9" x14ac:dyDescent="0.55000000000000004">
      <c r="C1416" s="7"/>
      <c r="E1416" t="s">
        <v>3999</v>
      </c>
      <c r="F1416">
        <v>0</v>
      </c>
      <c r="G1416" t="s">
        <v>4000</v>
      </c>
      <c r="H1416" t="s">
        <v>4001</v>
      </c>
      <c r="I1416" t="s">
        <v>4002</v>
      </c>
    </row>
    <row r="1417" spans="3:9" x14ac:dyDescent="0.55000000000000004">
      <c r="C1417" s="7"/>
      <c r="E1417" t="s">
        <v>4003</v>
      </c>
      <c r="F1417">
        <v>0</v>
      </c>
      <c r="G1417" t="s">
        <v>4004</v>
      </c>
      <c r="H1417" t="s">
        <v>4005</v>
      </c>
      <c r="I1417" t="s">
        <v>4006</v>
      </c>
    </row>
    <row r="1418" spans="3:9" x14ac:dyDescent="0.55000000000000004">
      <c r="C1418" s="7"/>
      <c r="E1418" t="s">
        <v>4007</v>
      </c>
      <c r="F1418">
        <v>0</v>
      </c>
      <c r="G1418" t="s">
        <v>4008</v>
      </c>
      <c r="H1418" t="s">
        <v>4009</v>
      </c>
      <c r="I1418" t="s">
        <v>4010</v>
      </c>
    </row>
    <row r="1419" spans="3:9" x14ac:dyDescent="0.55000000000000004">
      <c r="C1419" s="7"/>
      <c r="E1419" t="s">
        <v>4011</v>
      </c>
      <c r="F1419">
        <v>0</v>
      </c>
      <c r="G1419" t="s">
        <v>4012</v>
      </c>
      <c r="H1419" t="s">
        <v>4013</v>
      </c>
      <c r="I1419" t="s">
        <v>4014</v>
      </c>
    </row>
    <row r="1420" spans="3:9" x14ac:dyDescent="0.55000000000000004">
      <c r="C1420" s="7"/>
      <c r="E1420" t="s">
        <v>4015</v>
      </c>
      <c r="F1420">
        <v>0</v>
      </c>
      <c r="G1420" t="s">
        <v>4016</v>
      </c>
      <c r="H1420" t="s">
        <v>4017</v>
      </c>
      <c r="I1420" t="s">
        <v>4018</v>
      </c>
    </row>
    <row r="1421" spans="3:9" x14ac:dyDescent="0.55000000000000004">
      <c r="C1421" s="7"/>
      <c r="E1421" t="s">
        <v>4019</v>
      </c>
      <c r="F1421">
        <v>0</v>
      </c>
      <c r="G1421" t="s">
        <v>4020</v>
      </c>
      <c r="H1421" t="s">
        <v>4021</v>
      </c>
      <c r="I1421" t="s">
        <v>4022</v>
      </c>
    </row>
    <row r="1422" spans="3:9" x14ac:dyDescent="0.55000000000000004">
      <c r="C1422" s="7"/>
      <c r="E1422" t="s">
        <v>4023</v>
      </c>
      <c r="F1422">
        <v>0</v>
      </c>
      <c r="G1422" t="s">
        <v>4024</v>
      </c>
      <c r="H1422" t="s">
        <v>4025</v>
      </c>
      <c r="I1422" t="s">
        <v>4026</v>
      </c>
    </row>
    <row r="1423" spans="3:9" x14ac:dyDescent="0.55000000000000004">
      <c r="C1423" s="7"/>
      <c r="E1423" t="s">
        <v>4027</v>
      </c>
      <c r="F1423">
        <v>0</v>
      </c>
      <c r="G1423" t="s">
        <v>4028</v>
      </c>
      <c r="H1423" t="s">
        <v>4029</v>
      </c>
      <c r="I1423" t="s">
        <v>4030</v>
      </c>
    </row>
    <row r="1424" spans="3:9" x14ac:dyDescent="0.55000000000000004">
      <c r="C1424" s="7"/>
      <c r="E1424" t="s">
        <v>4031</v>
      </c>
      <c r="F1424">
        <v>0</v>
      </c>
      <c r="G1424" t="s">
        <v>4032</v>
      </c>
      <c r="H1424" t="s">
        <v>4033</v>
      </c>
      <c r="I1424" t="s">
        <v>4034</v>
      </c>
    </row>
    <row r="1425" spans="3:9" x14ac:dyDescent="0.55000000000000004">
      <c r="C1425" s="7"/>
      <c r="E1425" t="s">
        <v>4035</v>
      </c>
      <c r="F1425">
        <v>0</v>
      </c>
      <c r="G1425" t="s">
        <v>4036</v>
      </c>
      <c r="H1425" t="s">
        <v>4037</v>
      </c>
      <c r="I1425" t="s">
        <v>4038</v>
      </c>
    </row>
    <row r="1426" spans="3:9" x14ac:dyDescent="0.55000000000000004">
      <c r="C1426" s="7"/>
      <c r="E1426" t="s">
        <v>4039</v>
      </c>
      <c r="F1426">
        <v>0</v>
      </c>
      <c r="G1426" t="s">
        <v>4040</v>
      </c>
      <c r="H1426" t="s">
        <v>4041</v>
      </c>
      <c r="I1426" t="s">
        <v>4042</v>
      </c>
    </row>
    <row r="1427" spans="3:9" x14ac:dyDescent="0.55000000000000004">
      <c r="C1427" s="7"/>
      <c r="E1427" t="s">
        <v>4043</v>
      </c>
      <c r="F1427">
        <v>0</v>
      </c>
      <c r="G1427" t="s">
        <v>4044</v>
      </c>
      <c r="H1427" t="s">
        <v>4045</v>
      </c>
      <c r="I1427" t="s">
        <v>4046</v>
      </c>
    </row>
    <row r="1428" spans="3:9" x14ac:dyDescent="0.55000000000000004">
      <c r="C1428" s="7"/>
      <c r="E1428" t="s">
        <v>4047</v>
      </c>
      <c r="F1428">
        <v>0</v>
      </c>
      <c r="G1428" t="s">
        <v>4048</v>
      </c>
      <c r="H1428" t="s">
        <v>4049</v>
      </c>
      <c r="I1428" t="s">
        <v>4050</v>
      </c>
    </row>
    <row r="1429" spans="3:9" x14ac:dyDescent="0.55000000000000004">
      <c r="C1429" s="7"/>
      <c r="E1429" t="s">
        <v>4051</v>
      </c>
      <c r="F1429">
        <v>0</v>
      </c>
      <c r="G1429" t="s">
        <v>4052</v>
      </c>
      <c r="H1429" t="s">
        <v>4053</v>
      </c>
      <c r="I1429" t="s">
        <v>4054</v>
      </c>
    </row>
    <row r="1430" spans="3:9" x14ac:dyDescent="0.55000000000000004">
      <c r="C1430" s="7"/>
      <c r="E1430" t="s">
        <v>4055</v>
      </c>
      <c r="F1430">
        <v>0</v>
      </c>
      <c r="G1430" t="s">
        <v>4056</v>
      </c>
      <c r="H1430" t="s">
        <v>4057</v>
      </c>
      <c r="I1430" t="s">
        <v>4058</v>
      </c>
    </row>
    <row r="1431" spans="3:9" x14ac:dyDescent="0.55000000000000004">
      <c r="C1431" s="7"/>
      <c r="E1431" t="s">
        <v>4059</v>
      </c>
      <c r="F1431">
        <v>0</v>
      </c>
      <c r="G1431" t="s">
        <v>4060</v>
      </c>
      <c r="H1431" t="s">
        <v>4061</v>
      </c>
      <c r="I1431" t="s">
        <v>4062</v>
      </c>
    </row>
    <row r="1432" spans="3:9" x14ac:dyDescent="0.55000000000000004">
      <c r="C1432" s="7"/>
      <c r="E1432" t="s">
        <v>4063</v>
      </c>
      <c r="F1432">
        <v>0</v>
      </c>
      <c r="G1432" t="s">
        <v>4064</v>
      </c>
      <c r="H1432" t="s">
        <v>4065</v>
      </c>
      <c r="I1432" t="s">
        <v>4066</v>
      </c>
    </row>
    <row r="1433" spans="3:9" x14ac:dyDescent="0.55000000000000004">
      <c r="C1433" s="7"/>
      <c r="E1433" t="s">
        <v>4067</v>
      </c>
      <c r="F1433">
        <v>0</v>
      </c>
      <c r="G1433" t="s">
        <v>4068</v>
      </c>
      <c r="H1433" t="s">
        <v>4069</v>
      </c>
      <c r="I1433" t="s">
        <v>4070</v>
      </c>
    </row>
    <row r="1434" spans="3:9" x14ac:dyDescent="0.55000000000000004">
      <c r="C1434" s="7"/>
      <c r="E1434" t="s">
        <v>4071</v>
      </c>
      <c r="F1434">
        <v>0</v>
      </c>
      <c r="G1434" t="s">
        <v>4072</v>
      </c>
      <c r="H1434" t="s">
        <v>4073</v>
      </c>
      <c r="I1434" t="s">
        <v>4074</v>
      </c>
    </row>
    <row r="1435" spans="3:9" x14ac:dyDescent="0.55000000000000004">
      <c r="C1435" s="7"/>
      <c r="E1435" t="s">
        <v>4075</v>
      </c>
      <c r="F1435">
        <v>0</v>
      </c>
      <c r="G1435" t="s">
        <v>4076</v>
      </c>
      <c r="H1435" t="s">
        <v>4077</v>
      </c>
      <c r="I1435" t="s">
        <v>4078</v>
      </c>
    </row>
    <row r="1436" spans="3:9" x14ac:dyDescent="0.55000000000000004">
      <c r="C1436" s="7"/>
      <c r="E1436" t="s">
        <v>4079</v>
      </c>
      <c r="F1436">
        <v>0</v>
      </c>
      <c r="G1436" t="s">
        <v>4080</v>
      </c>
      <c r="H1436" t="s">
        <v>4081</v>
      </c>
      <c r="I1436" t="s">
        <v>4082</v>
      </c>
    </row>
    <row r="1437" spans="3:9" x14ac:dyDescent="0.55000000000000004">
      <c r="C1437" s="7"/>
      <c r="E1437" t="s">
        <v>4083</v>
      </c>
      <c r="F1437">
        <v>0</v>
      </c>
      <c r="G1437" t="s">
        <v>4084</v>
      </c>
      <c r="H1437" t="s">
        <v>4085</v>
      </c>
      <c r="I1437" t="s">
        <v>4086</v>
      </c>
    </row>
    <row r="1438" spans="3:9" x14ac:dyDescent="0.55000000000000004">
      <c r="C1438" s="7"/>
      <c r="E1438" t="s">
        <v>4087</v>
      </c>
      <c r="F1438">
        <v>0</v>
      </c>
      <c r="G1438" t="s">
        <v>4088</v>
      </c>
      <c r="H1438" t="s">
        <v>4089</v>
      </c>
      <c r="I1438" t="s">
        <v>4090</v>
      </c>
    </row>
    <row r="1439" spans="3:9" x14ac:dyDescent="0.55000000000000004">
      <c r="C1439" s="7"/>
      <c r="E1439" t="s">
        <v>4091</v>
      </c>
      <c r="F1439">
        <v>0</v>
      </c>
      <c r="G1439" t="s">
        <v>4092</v>
      </c>
      <c r="H1439" t="s">
        <v>4093</v>
      </c>
      <c r="I1439" t="s">
        <v>4094</v>
      </c>
    </row>
    <row r="1440" spans="3:9" x14ac:dyDescent="0.55000000000000004">
      <c r="C1440" s="7"/>
      <c r="E1440" t="s">
        <v>4095</v>
      </c>
      <c r="F1440">
        <v>0</v>
      </c>
      <c r="G1440" t="s">
        <v>4096</v>
      </c>
      <c r="H1440" t="s">
        <v>4097</v>
      </c>
      <c r="I1440" t="s">
        <v>4098</v>
      </c>
    </row>
    <row r="1441" spans="3:9" x14ac:dyDescent="0.55000000000000004">
      <c r="C1441" s="7"/>
      <c r="E1441" t="s">
        <v>4099</v>
      </c>
      <c r="F1441">
        <v>0</v>
      </c>
      <c r="G1441" t="s">
        <v>4100</v>
      </c>
      <c r="H1441" t="s">
        <v>4101</v>
      </c>
      <c r="I1441" t="s">
        <v>4102</v>
      </c>
    </row>
    <row r="1442" spans="3:9" x14ac:dyDescent="0.55000000000000004">
      <c r="C1442" s="7"/>
      <c r="E1442" t="s">
        <v>4103</v>
      </c>
      <c r="F1442">
        <v>0</v>
      </c>
      <c r="G1442" t="s">
        <v>1274</v>
      </c>
      <c r="H1442" t="s">
        <v>4104</v>
      </c>
      <c r="I1442" t="s">
        <v>4105</v>
      </c>
    </row>
    <row r="1443" spans="3:9" x14ac:dyDescent="0.55000000000000004">
      <c r="C1443" s="7"/>
      <c r="E1443" t="s">
        <v>4106</v>
      </c>
      <c r="F1443">
        <v>0</v>
      </c>
      <c r="G1443" t="s">
        <v>4107</v>
      </c>
      <c r="H1443" t="s">
        <v>4108</v>
      </c>
      <c r="I1443" t="s">
        <v>4109</v>
      </c>
    </row>
    <row r="1444" spans="3:9" x14ac:dyDescent="0.55000000000000004">
      <c r="C1444" s="7"/>
      <c r="E1444" t="s">
        <v>4110</v>
      </c>
      <c r="F1444">
        <v>0</v>
      </c>
      <c r="G1444" t="s">
        <v>4111</v>
      </c>
      <c r="H1444" t="s">
        <v>4112</v>
      </c>
      <c r="I1444" t="s">
        <v>4113</v>
      </c>
    </row>
    <row r="1445" spans="3:9" x14ac:dyDescent="0.55000000000000004">
      <c r="C1445" s="7"/>
      <c r="E1445" t="s">
        <v>4114</v>
      </c>
      <c r="F1445">
        <v>0</v>
      </c>
      <c r="G1445" t="s">
        <v>4115</v>
      </c>
      <c r="H1445" t="s">
        <v>4116</v>
      </c>
      <c r="I1445" t="s">
        <v>4117</v>
      </c>
    </row>
    <row r="1446" spans="3:9" x14ac:dyDescent="0.55000000000000004">
      <c r="C1446" s="7"/>
      <c r="E1446" t="s">
        <v>4122</v>
      </c>
      <c r="F1446">
        <v>0</v>
      </c>
      <c r="G1446" t="s">
        <v>4123</v>
      </c>
      <c r="H1446" t="s">
        <v>4124</v>
      </c>
      <c r="I1446" t="s">
        <v>4125</v>
      </c>
    </row>
    <row r="1447" spans="3:9" x14ac:dyDescent="0.55000000000000004">
      <c r="C1447" s="7"/>
      <c r="E1447" t="s">
        <v>4126</v>
      </c>
      <c r="F1447">
        <v>0</v>
      </c>
      <c r="G1447" t="s">
        <v>4127</v>
      </c>
      <c r="H1447" t="s">
        <v>4128</v>
      </c>
      <c r="I1447" t="s">
        <v>4129</v>
      </c>
    </row>
    <row r="1448" spans="3:9" x14ac:dyDescent="0.55000000000000004">
      <c r="C1448" s="7"/>
      <c r="E1448" t="s">
        <v>4130</v>
      </c>
      <c r="F1448">
        <v>0</v>
      </c>
      <c r="G1448" t="s">
        <v>4131</v>
      </c>
      <c r="H1448" t="s">
        <v>4132</v>
      </c>
      <c r="I1448" t="s">
        <v>4133</v>
      </c>
    </row>
    <row r="1449" spans="3:9" x14ac:dyDescent="0.55000000000000004">
      <c r="C1449" s="7"/>
      <c r="E1449" t="s">
        <v>4134</v>
      </c>
      <c r="F1449">
        <v>0</v>
      </c>
      <c r="G1449" t="s">
        <v>4135</v>
      </c>
      <c r="H1449" t="s">
        <v>4136</v>
      </c>
      <c r="I1449" t="s">
        <v>4137</v>
      </c>
    </row>
    <row r="1450" spans="3:9" x14ac:dyDescent="0.55000000000000004">
      <c r="C1450" s="7"/>
      <c r="E1450" t="s">
        <v>4138</v>
      </c>
      <c r="F1450">
        <v>0</v>
      </c>
      <c r="G1450" t="s">
        <v>4139</v>
      </c>
      <c r="H1450" t="s">
        <v>4140</v>
      </c>
      <c r="I1450" t="s">
        <v>4141</v>
      </c>
    </row>
    <row r="1451" spans="3:9" x14ac:dyDescent="0.55000000000000004">
      <c r="C1451" s="7"/>
      <c r="E1451" t="s">
        <v>4142</v>
      </c>
      <c r="F1451">
        <v>0</v>
      </c>
      <c r="G1451" t="s">
        <v>4143</v>
      </c>
      <c r="H1451" t="s">
        <v>4144</v>
      </c>
      <c r="I1451" t="s">
        <v>4145</v>
      </c>
    </row>
    <row r="1452" spans="3:9" x14ac:dyDescent="0.55000000000000004">
      <c r="C1452" s="7"/>
      <c r="E1452" t="s">
        <v>4146</v>
      </c>
      <c r="F1452">
        <v>0</v>
      </c>
      <c r="G1452" t="s">
        <v>4147</v>
      </c>
      <c r="H1452" t="s">
        <v>4148</v>
      </c>
      <c r="I1452" t="s">
        <v>4149</v>
      </c>
    </row>
    <row r="1453" spans="3:9" x14ac:dyDescent="0.55000000000000004">
      <c r="C1453" s="7"/>
      <c r="E1453" t="s">
        <v>4150</v>
      </c>
      <c r="F1453">
        <v>0</v>
      </c>
      <c r="G1453" t="s">
        <v>4151</v>
      </c>
      <c r="H1453" t="s">
        <v>4152</v>
      </c>
      <c r="I1453" t="s">
        <v>4153</v>
      </c>
    </row>
    <row r="1454" spans="3:9" x14ac:dyDescent="0.55000000000000004">
      <c r="C1454" s="7"/>
      <c r="E1454" t="s">
        <v>4154</v>
      </c>
      <c r="F1454">
        <v>0</v>
      </c>
      <c r="G1454" t="s">
        <v>4155</v>
      </c>
      <c r="H1454" t="s">
        <v>4156</v>
      </c>
      <c r="I1454" t="s">
        <v>4157</v>
      </c>
    </row>
    <row r="1455" spans="3:9" x14ac:dyDescent="0.55000000000000004">
      <c r="C1455" s="7"/>
      <c r="E1455" t="s">
        <v>4158</v>
      </c>
      <c r="F1455">
        <v>0</v>
      </c>
      <c r="G1455" t="s">
        <v>1027</v>
      </c>
      <c r="H1455" t="s">
        <v>4159</v>
      </c>
      <c r="I1455" t="s">
        <v>4160</v>
      </c>
    </row>
    <row r="1456" spans="3:9" x14ac:dyDescent="0.55000000000000004">
      <c r="C1456" s="7"/>
      <c r="E1456" t="s">
        <v>4161</v>
      </c>
      <c r="F1456">
        <v>0</v>
      </c>
      <c r="G1456" t="s">
        <v>4162</v>
      </c>
      <c r="H1456" t="s">
        <v>4163</v>
      </c>
      <c r="I1456" t="s">
        <v>4164</v>
      </c>
    </row>
    <row r="1457" spans="3:9" x14ac:dyDescent="0.55000000000000004">
      <c r="C1457" s="7"/>
      <c r="E1457" t="s">
        <v>4165</v>
      </c>
      <c r="F1457">
        <v>0</v>
      </c>
      <c r="G1457" t="s">
        <v>4166</v>
      </c>
      <c r="H1457" t="s">
        <v>4167</v>
      </c>
      <c r="I1457" t="s">
        <v>4168</v>
      </c>
    </row>
    <row r="1458" spans="3:9" x14ac:dyDescent="0.55000000000000004">
      <c r="C1458" s="7"/>
      <c r="E1458" t="s">
        <v>4169</v>
      </c>
      <c r="F1458">
        <v>0</v>
      </c>
      <c r="G1458" t="s">
        <v>4170</v>
      </c>
      <c r="H1458" t="s">
        <v>4171</v>
      </c>
      <c r="I1458" t="s">
        <v>4172</v>
      </c>
    </row>
    <row r="1459" spans="3:9" x14ac:dyDescent="0.55000000000000004">
      <c r="C1459" s="7"/>
      <c r="E1459" t="s">
        <v>4173</v>
      </c>
      <c r="F1459">
        <v>0</v>
      </c>
      <c r="G1459" t="s">
        <v>4174</v>
      </c>
      <c r="H1459" t="s">
        <v>4175</v>
      </c>
      <c r="I1459" t="s">
        <v>4176</v>
      </c>
    </row>
    <row r="1460" spans="3:9" x14ac:dyDescent="0.55000000000000004">
      <c r="C1460" s="7"/>
      <c r="E1460" t="s">
        <v>4177</v>
      </c>
      <c r="F1460">
        <v>0</v>
      </c>
      <c r="G1460" t="s">
        <v>4178</v>
      </c>
      <c r="H1460" t="s">
        <v>4179</v>
      </c>
      <c r="I1460" t="s">
        <v>4180</v>
      </c>
    </row>
    <row r="1461" spans="3:9" x14ac:dyDescent="0.55000000000000004">
      <c r="C1461" s="7"/>
      <c r="E1461" t="s">
        <v>4181</v>
      </c>
      <c r="F1461">
        <v>0</v>
      </c>
      <c r="G1461" t="s">
        <v>4182</v>
      </c>
      <c r="H1461" t="s">
        <v>4183</v>
      </c>
      <c r="I1461" t="s">
        <v>4184</v>
      </c>
    </row>
    <row r="1462" spans="3:9" x14ac:dyDescent="0.55000000000000004">
      <c r="C1462" s="7"/>
      <c r="E1462" t="s">
        <v>4185</v>
      </c>
      <c r="F1462">
        <v>0</v>
      </c>
      <c r="G1462" t="s">
        <v>4186</v>
      </c>
      <c r="H1462" t="s">
        <v>4187</v>
      </c>
      <c r="I1462" t="s">
        <v>4188</v>
      </c>
    </row>
    <row r="1463" spans="3:9" x14ac:dyDescent="0.55000000000000004">
      <c r="C1463" s="7"/>
      <c r="E1463" t="s">
        <v>4189</v>
      </c>
      <c r="F1463">
        <v>0</v>
      </c>
      <c r="G1463" t="s">
        <v>4190</v>
      </c>
      <c r="H1463" t="s">
        <v>4191</v>
      </c>
      <c r="I1463" t="s">
        <v>4192</v>
      </c>
    </row>
    <row r="1464" spans="3:9" x14ac:dyDescent="0.55000000000000004">
      <c r="C1464" s="7"/>
      <c r="E1464" t="s">
        <v>4193</v>
      </c>
      <c r="F1464">
        <v>0</v>
      </c>
      <c r="G1464" t="s">
        <v>4194</v>
      </c>
      <c r="H1464" t="s">
        <v>4195</v>
      </c>
      <c r="I1464" t="s">
        <v>4196</v>
      </c>
    </row>
    <row r="1465" spans="3:9" x14ac:dyDescent="0.55000000000000004">
      <c r="C1465" s="7"/>
      <c r="E1465" t="s">
        <v>4197</v>
      </c>
      <c r="F1465">
        <v>0</v>
      </c>
      <c r="G1465" t="s">
        <v>4198</v>
      </c>
      <c r="H1465" t="s">
        <v>4199</v>
      </c>
      <c r="I1465" t="s">
        <v>4200</v>
      </c>
    </row>
    <row r="1466" spans="3:9" x14ac:dyDescent="0.55000000000000004">
      <c r="C1466" s="7"/>
      <c r="E1466" t="s">
        <v>4201</v>
      </c>
      <c r="F1466">
        <v>0</v>
      </c>
      <c r="G1466" t="s">
        <v>4202</v>
      </c>
      <c r="H1466" t="s">
        <v>4203</v>
      </c>
      <c r="I1466" t="s">
        <v>4204</v>
      </c>
    </row>
    <row r="1467" spans="3:9" x14ac:dyDescent="0.55000000000000004">
      <c r="C1467" s="7"/>
      <c r="E1467" t="s">
        <v>4205</v>
      </c>
      <c r="F1467">
        <v>0</v>
      </c>
      <c r="G1467" t="s">
        <v>4206</v>
      </c>
      <c r="H1467" t="s">
        <v>4207</v>
      </c>
      <c r="I1467" t="s">
        <v>4208</v>
      </c>
    </row>
    <row r="1468" spans="3:9" x14ac:dyDescent="0.55000000000000004">
      <c r="C1468" s="7"/>
      <c r="E1468" t="s">
        <v>4209</v>
      </c>
      <c r="F1468">
        <v>0</v>
      </c>
      <c r="G1468" t="s">
        <v>4210</v>
      </c>
      <c r="H1468" t="s">
        <v>4211</v>
      </c>
      <c r="I1468" t="s">
        <v>4212</v>
      </c>
    </row>
    <row r="1469" spans="3:9" x14ac:dyDescent="0.55000000000000004">
      <c r="C1469" s="7"/>
      <c r="E1469" t="s">
        <v>4213</v>
      </c>
      <c r="F1469">
        <v>0</v>
      </c>
      <c r="G1469" t="s">
        <v>4214</v>
      </c>
      <c r="H1469" t="s">
        <v>4215</v>
      </c>
      <c r="I1469" t="s">
        <v>4216</v>
      </c>
    </row>
    <row r="1470" spans="3:9" x14ac:dyDescent="0.55000000000000004">
      <c r="C1470" s="7"/>
      <c r="E1470" t="s">
        <v>4217</v>
      </c>
      <c r="F1470">
        <v>0</v>
      </c>
      <c r="G1470" t="s">
        <v>4218</v>
      </c>
      <c r="H1470" t="s">
        <v>4219</v>
      </c>
      <c r="I1470" t="s">
        <v>4220</v>
      </c>
    </row>
    <row r="1471" spans="3:9" x14ac:dyDescent="0.55000000000000004">
      <c r="C1471" s="7"/>
      <c r="E1471" t="s">
        <v>4221</v>
      </c>
      <c r="F1471">
        <v>0</v>
      </c>
      <c r="G1471" t="s">
        <v>4222</v>
      </c>
      <c r="H1471" t="s">
        <v>4223</v>
      </c>
      <c r="I1471" t="s">
        <v>4224</v>
      </c>
    </row>
    <row r="1472" spans="3:9" x14ac:dyDescent="0.55000000000000004">
      <c r="C1472" s="7"/>
      <c r="E1472" t="s">
        <v>4225</v>
      </c>
      <c r="F1472">
        <v>0</v>
      </c>
      <c r="G1472" t="s">
        <v>4226</v>
      </c>
      <c r="H1472" t="s">
        <v>4227</v>
      </c>
      <c r="I1472" t="s">
        <v>4228</v>
      </c>
    </row>
    <row r="1473" spans="3:9" x14ac:dyDescent="0.55000000000000004">
      <c r="C1473" s="7"/>
      <c r="E1473" t="s">
        <v>4229</v>
      </c>
      <c r="F1473">
        <v>0</v>
      </c>
      <c r="G1473" t="s">
        <v>4230</v>
      </c>
      <c r="H1473" t="s">
        <v>4231</v>
      </c>
      <c r="I1473" t="s">
        <v>4232</v>
      </c>
    </row>
    <row r="1474" spans="3:9" x14ac:dyDescent="0.55000000000000004">
      <c r="C1474" s="7"/>
      <c r="E1474" t="s">
        <v>4237</v>
      </c>
      <c r="F1474">
        <v>0</v>
      </c>
      <c r="G1474" t="s">
        <v>4238</v>
      </c>
      <c r="H1474" t="s">
        <v>4239</v>
      </c>
      <c r="I1474" t="s">
        <v>4240</v>
      </c>
    </row>
    <row r="1475" spans="3:9" x14ac:dyDescent="0.55000000000000004">
      <c r="C1475" s="7"/>
      <c r="E1475" t="s">
        <v>4241</v>
      </c>
      <c r="F1475">
        <v>0</v>
      </c>
      <c r="G1475" t="s">
        <v>4242</v>
      </c>
      <c r="H1475" t="s">
        <v>4243</v>
      </c>
      <c r="I1475" t="s">
        <v>4244</v>
      </c>
    </row>
    <row r="1476" spans="3:9" x14ac:dyDescent="0.55000000000000004">
      <c r="C1476" s="7"/>
      <c r="E1476" t="s">
        <v>4245</v>
      </c>
      <c r="F1476">
        <v>0</v>
      </c>
      <c r="G1476" t="s">
        <v>4246</v>
      </c>
      <c r="H1476" t="s">
        <v>4247</v>
      </c>
      <c r="I1476" t="s">
        <v>4248</v>
      </c>
    </row>
    <row r="1477" spans="3:9" x14ac:dyDescent="0.55000000000000004">
      <c r="C1477" s="7"/>
      <c r="E1477" t="s">
        <v>4249</v>
      </c>
      <c r="F1477">
        <v>0</v>
      </c>
      <c r="G1477" t="s">
        <v>4250</v>
      </c>
      <c r="H1477" t="s">
        <v>4251</v>
      </c>
      <c r="I1477" t="s">
        <v>4252</v>
      </c>
    </row>
    <row r="1478" spans="3:9" x14ac:dyDescent="0.55000000000000004">
      <c r="C1478" s="7"/>
      <c r="E1478" t="s">
        <v>4253</v>
      </c>
      <c r="F1478">
        <v>0</v>
      </c>
      <c r="G1478" t="s">
        <v>4254</v>
      </c>
      <c r="H1478" t="s">
        <v>4255</v>
      </c>
      <c r="I1478" t="s">
        <v>4256</v>
      </c>
    </row>
    <row r="1479" spans="3:9" x14ac:dyDescent="0.55000000000000004">
      <c r="C1479" s="7"/>
      <c r="E1479" t="s">
        <v>4257</v>
      </c>
      <c r="F1479">
        <v>0</v>
      </c>
      <c r="G1479" t="s">
        <v>4258</v>
      </c>
      <c r="H1479" t="s">
        <v>4259</v>
      </c>
      <c r="I1479" t="s">
        <v>4260</v>
      </c>
    </row>
    <row r="1480" spans="3:9" x14ac:dyDescent="0.55000000000000004">
      <c r="C1480" s="7"/>
      <c r="E1480" t="s">
        <v>4261</v>
      </c>
      <c r="F1480">
        <v>0</v>
      </c>
      <c r="G1480" t="s">
        <v>4262</v>
      </c>
      <c r="H1480" t="s">
        <v>4263</v>
      </c>
      <c r="I1480" t="s">
        <v>4264</v>
      </c>
    </row>
    <row r="1481" spans="3:9" x14ac:dyDescent="0.55000000000000004">
      <c r="C1481" s="7"/>
      <c r="E1481" t="s">
        <v>4265</v>
      </c>
      <c r="F1481">
        <v>0</v>
      </c>
      <c r="G1481" t="s">
        <v>4266</v>
      </c>
      <c r="H1481" t="s">
        <v>4267</v>
      </c>
      <c r="I1481" t="s">
        <v>4268</v>
      </c>
    </row>
    <row r="1482" spans="3:9" x14ac:dyDescent="0.55000000000000004">
      <c r="C1482" s="7"/>
      <c r="E1482" t="s">
        <v>4269</v>
      </c>
      <c r="F1482">
        <v>0</v>
      </c>
      <c r="G1482" t="s">
        <v>4270</v>
      </c>
      <c r="H1482" t="s">
        <v>4271</v>
      </c>
      <c r="I1482" t="s">
        <v>4272</v>
      </c>
    </row>
    <row r="1483" spans="3:9" x14ac:dyDescent="0.55000000000000004">
      <c r="C1483" s="7"/>
      <c r="E1483" t="s">
        <v>4273</v>
      </c>
      <c r="F1483">
        <v>0</v>
      </c>
      <c r="G1483" t="s">
        <v>4274</v>
      </c>
      <c r="H1483" t="s">
        <v>4275</v>
      </c>
      <c r="I1483" t="s">
        <v>4276</v>
      </c>
    </row>
    <row r="1484" spans="3:9" x14ac:dyDescent="0.55000000000000004">
      <c r="C1484" s="7"/>
      <c r="E1484" t="s">
        <v>4277</v>
      </c>
      <c r="F1484">
        <v>0</v>
      </c>
      <c r="G1484" t="s">
        <v>4278</v>
      </c>
      <c r="H1484" t="s">
        <v>4279</v>
      </c>
      <c r="I1484" t="s">
        <v>4280</v>
      </c>
    </row>
    <row r="1485" spans="3:9" x14ac:dyDescent="0.55000000000000004">
      <c r="C1485" s="7"/>
      <c r="E1485" t="s">
        <v>4281</v>
      </c>
      <c r="F1485">
        <v>0</v>
      </c>
      <c r="G1485" t="s">
        <v>4282</v>
      </c>
      <c r="H1485" t="s">
        <v>4283</v>
      </c>
      <c r="I1485" t="s">
        <v>4284</v>
      </c>
    </row>
    <row r="1486" spans="3:9" x14ac:dyDescent="0.55000000000000004">
      <c r="C1486" s="7"/>
      <c r="E1486" t="s">
        <v>4285</v>
      </c>
      <c r="F1486">
        <v>0</v>
      </c>
      <c r="G1486" t="s">
        <v>4286</v>
      </c>
      <c r="H1486" t="s">
        <v>4287</v>
      </c>
      <c r="I1486" t="s">
        <v>4288</v>
      </c>
    </row>
    <row r="1487" spans="3:9" x14ac:dyDescent="0.55000000000000004">
      <c r="C1487" s="7"/>
      <c r="E1487" t="s">
        <v>4289</v>
      </c>
      <c r="F1487">
        <v>0</v>
      </c>
      <c r="G1487" t="s">
        <v>4290</v>
      </c>
      <c r="H1487" t="s">
        <v>4291</v>
      </c>
      <c r="I1487" t="s">
        <v>4292</v>
      </c>
    </row>
    <row r="1488" spans="3:9" x14ac:dyDescent="0.55000000000000004">
      <c r="C1488" s="7"/>
      <c r="E1488" t="s">
        <v>4293</v>
      </c>
      <c r="F1488">
        <v>0</v>
      </c>
      <c r="G1488" t="s">
        <v>4294</v>
      </c>
      <c r="H1488" t="s">
        <v>4295</v>
      </c>
      <c r="I1488" t="s">
        <v>4296</v>
      </c>
    </row>
    <row r="1489" spans="3:9" x14ac:dyDescent="0.55000000000000004">
      <c r="C1489" s="7"/>
      <c r="E1489" t="s">
        <v>4297</v>
      </c>
      <c r="F1489">
        <v>0</v>
      </c>
      <c r="G1489" t="s">
        <v>4298</v>
      </c>
      <c r="H1489" t="s">
        <v>4299</v>
      </c>
      <c r="I1489" t="s">
        <v>4300</v>
      </c>
    </row>
    <row r="1490" spans="3:9" x14ac:dyDescent="0.55000000000000004">
      <c r="C1490" s="7"/>
      <c r="E1490" t="s">
        <v>4301</v>
      </c>
      <c r="F1490">
        <v>0</v>
      </c>
      <c r="G1490" t="s">
        <v>4302</v>
      </c>
      <c r="H1490" t="s">
        <v>4303</v>
      </c>
      <c r="I1490" t="s">
        <v>4304</v>
      </c>
    </row>
    <row r="1491" spans="3:9" x14ac:dyDescent="0.55000000000000004">
      <c r="C1491" s="7"/>
      <c r="E1491" t="s">
        <v>4305</v>
      </c>
      <c r="F1491">
        <v>0</v>
      </c>
      <c r="G1491" t="s">
        <v>4306</v>
      </c>
      <c r="H1491" t="s">
        <v>4307</v>
      </c>
      <c r="I1491" t="s">
        <v>4308</v>
      </c>
    </row>
    <row r="1492" spans="3:9" x14ac:dyDescent="0.55000000000000004">
      <c r="C1492" s="7"/>
      <c r="E1492" t="s">
        <v>4309</v>
      </c>
      <c r="F1492">
        <v>0</v>
      </c>
      <c r="G1492" t="s">
        <v>4310</v>
      </c>
      <c r="H1492" t="s">
        <v>4311</v>
      </c>
      <c r="I1492" t="s">
        <v>4312</v>
      </c>
    </row>
    <row r="1493" spans="3:9" x14ac:dyDescent="0.55000000000000004">
      <c r="C1493" s="7"/>
      <c r="E1493" t="s">
        <v>4313</v>
      </c>
      <c r="F1493">
        <v>0</v>
      </c>
      <c r="G1493" t="s">
        <v>4314</v>
      </c>
      <c r="H1493" t="s">
        <v>4315</v>
      </c>
      <c r="I1493" t="s">
        <v>4316</v>
      </c>
    </row>
    <row r="1494" spans="3:9" x14ac:dyDescent="0.55000000000000004">
      <c r="C1494" s="7"/>
      <c r="E1494" t="s">
        <v>4317</v>
      </c>
      <c r="F1494">
        <v>0</v>
      </c>
      <c r="G1494" t="s">
        <v>4318</v>
      </c>
      <c r="H1494" t="s">
        <v>4319</v>
      </c>
      <c r="I1494" t="s">
        <v>4320</v>
      </c>
    </row>
    <row r="1495" spans="3:9" x14ac:dyDescent="0.55000000000000004">
      <c r="C1495" s="7"/>
      <c r="E1495" t="s">
        <v>4325</v>
      </c>
      <c r="F1495">
        <v>0</v>
      </c>
      <c r="G1495" t="s">
        <v>4326</v>
      </c>
      <c r="H1495" t="s">
        <v>4327</v>
      </c>
      <c r="I1495" t="s">
        <v>4328</v>
      </c>
    </row>
    <row r="1496" spans="3:9" x14ac:dyDescent="0.55000000000000004">
      <c r="C1496" s="7"/>
      <c r="E1496" t="s">
        <v>4329</v>
      </c>
      <c r="F1496">
        <v>0</v>
      </c>
      <c r="G1496" t="s">
        <v>4330</v>
      </c>
      <c r="H1496" t="s">
        <v>4331</v>
      </c>
      <c r="I1496" t="s">
        <v>4332</v>
      </c>
    </row>
    <row r="1497" spans="3:9" x14ac:dyDescent="0.55000000000000004">
      <c r="C1497" s="7"/>
      <c r="E1497" t="s">
        <v>4337</v>
      </c>
      <c r="F1497">
        <v>0</v>
      </c>
      <c r="G1497" t="s">
        <v>1317</v>
      </c>
      <c r="H1497" t="s">
        <v>4338</v>
      </c>
      <c r="I1497" t="s">
        <v>4339</v>
      </c>
    </row>
    <row r="1498" spans="3:9" x14ac:dyDescent="0.55000000000000004">
      <c r="C1498" s="7"/>
      <c r="E1498" t="s">
        <v>4340</v>
      </c>
      <c r="F1498">
        <v>0</v>
      </c>
      <c r="G1498" t="s">
        <v>4341</v>
      </c>
      <c r="H1498" t="s">
        <v>4342</v>
      </c>
      <c r="I1498" t="s">
        <v>4343</v>
      </c>
    </row>
    <row r="1499" spans="3:9" x14ac:dyDescent="0.55000000000000004">
      <c r="C1499" s="7"/>
      <c r="E1499" t="s">
        <v>4344</v>
      </c>
      <c r="F1499">
        <v>0</v>
      </c>
      <c r="G1499" t="s">
        <v>4345</v>
      </c>
      <c r="H1499" t="s">
        <v>4346</v>
      </c>
      <c r="I1499" t="s">
        <v>4347</v>
      </c>
    </row>
    <row r="1500" spans="3:9" x14ac:dyDescent="0.55000000000000004">
      <c r="C1500" s="7"/>
      <c r="E1500" t="s">
        <v>4348</v>
      </c>
      <c r="F1500">
        <v>0</v>
      </c>
      <c r="G1500" t="s">
        <v>4349</v>
      </c>
      <c r="H1500" t="s">
        <v>4350</v>
      </c>
      <c r="I1500" t="s">
        <v>4351</v>
      </c>
    </row>
    <row r="1501" spans="3:9" x14ac:dyDescent="0.55000000000000004">
      <c r="C1501" s="7"/>
      <c r="E1501" t="s">
        <v>4352</v>
      </c>
      <c r="F1501">
        <v>0</v>
      </c>
      <c r="G1501" t="s">
        <v>4353</v>
      </c>
      <c r="H1501" t="s">
        <v>4354</v>
      </c>
      <c r="I1501" t="s">
        <v>4355</v>
      </c>
    </row>
    <row r="1502" spans="3:9" x14ac:dyDescent="0.55000000000000004">
      <c r="C1502" s="7"/>
      <c r="E1502" t="s">
        <v>4356</v>
      </c>
      <c r="F1502">
        <v>0</v>
      </c>
      <c r="G1502" t="s">
        <v>4357</v>
      </c>
      <c r="H1502" t="s">
        <v>4358</v>
      </c>
      <c r="I1502" t="s">
        <v>4359</v>
      </c>
    </row>
    <row r="1503" spans="3:9" x14ac:dyDescent="0.55000000000000004">
      <c r="C1503" s="7"/>
      <c r="E1503" t="s">
        <v>4360</v>
      </c>
      <c r="F1503">
        <v>0</v>
      </c>
      <c r="G1503" t="s">
        <v>4361</v>
      </c>
      <c r="H1503" t="s">
        <v>4362</v>
      </c>
      <c r="I1503" t="s">
        <v>4363</v>
      </c>
    </row>
    <row r="1504" spans="3:9" x14ac:dyDescent="0.55000000000000004">
      <c r="C1504" s="7"/>
      <c r="E1504" t="s">
        <v>4364</v>
      </c>
      <c r="F1504">
        <v>0</v>
      </c>
      <c r="G1504" t="s">
        <v>4365</v>
      </c>
      <c r="H1504" t="s">
        <v>4366</v>
      </c>
      <c r="I1504" t="s">
        <v>4367</v>
      </c>
    </row>
    <row r="1505" spans="3:9" x14ac:dyDescent="0.55000000000000004">
      <c r="C1505" s="7"/>
      <c r="E1505" t="s">
        <v>4368</v>
      </c>
      <c r="F1505">
        <v>0</v>
      </c>
      <c r="G1505" t="s">
        <v>4369</v>
      </c>
      <c r="H1505" t="s">
        <v>4370</v>
      </c>
      <c r="I1505" t="s">
        <v>4371</v>
      </c>
    </row>
    <row r="1506" spans="3:9" x14ac:dyDescent="0.55000000000000004">
      <c r="C1506" s="7"/>
      <c r="E1506" t="s">
        <v>4372</v>
      </c>
      <c r="F1506">
        <v>0</v>
      </c>
      <c r="G1506" t="s">
        <v>4373</v>
      </c>
      <c r="H1506" t="s">
        <v>4374</v>
      </c>
      <c r="I1506" t="s">
        <v>4375</v>
      </c>
    </row>
    <row r="1507" spans="3:9" x14ac:dyDescent="0.55000000000000004">
      <c r="C1507" s="7"/>
      <c r="E1507" t="s">
        <v>4376</v>
      </c>
      <c r="F1507">
        <v>0</v>
      </c>
      <c r="G1507" t="s">
        <v>4377</v>
      </c>
      <c r="H1507" t="s">
        <v>4378</v>
      </c>
      <c r="I1507" t="s">
        <v>4379</v>
      </c>
    </row>
    <row r="1508" spans="3:9" x14ac:dyDescent="0.55000000000000004">
      <c r="C1508" s="7"/>
      <c r="E1508" t="s">
        <v>4380</v>
      </c>
      <c r="F1508">
        <v>0</v>
      </c>
      <c r="G1508" t="s">
        <v>4381</v>
      </c>
      <c r="H1508" t="s">
        <v>4382</v>
      </c>
      <c r="I1508" t="s">
        <v>4383</v>
      </c>
    </row>
    <row r="1509" spans="3:9" x14ac:dyDescent="0.55000000000000004">
      <c r="C1509" s="7"/>
      <c r="E1509" t="s">
        <v>4384</v>
      </c>
      <c r="F1509">
        <v>0</v>
      </c>
      <c r="G1509" t="s">
        <v>4385</v>
      </c>
      <c r="H1509" t="s">
        <v>4386</v>
      </c>
      <c r="I1509" t="s">
        <v>4387</v>
      </c>
    </row>
    <row r="1510" spans="3:9" x14ac:dyDescent="0.55000000000000004">
      <c r="C1510" s="7"/>
      <c r="E1510" t="s">
        <v>4388</v>
      </c>
      <c r="F1510">
        <v>0</v>
      </c>
      <c r="G1510" t="s">
        <v>4389</v>
      </c>
      <c r="H1510" t="s">
        <v>4390</v>
      </c>
      <c r="I1510" t="s">
        <v>4391</v>
      </c>
    </row>
    <row r="1511" spans="3:9" x14ac:dyDescent="0.55000000000000004">
      <c r="C1511" s="7"/>
      <c r="E1511" t="s">
        <v>4392</v>
      </c>
      <c r="F1511">
        <v>0</v>
      </c>
      <c r="G1511" t="s">
        <v>4393</v>
      </c>
      <c r="H1511" t="s">
        <v>4394</v>
      </c>
      <c r="I1511" t="s">
        <v>4395</v>
      </c>
    </row>
    <row r="1512" spans="3:9" x14ac:dyDescent="0.55000000000000004">
      <c r="C1512" s="7"/>
      <c r="E1512" t="s">
        <v>4396</v>
      </c>
      <c r="F1512">
        <v>0</v>
      </c>
      <c r="G1512" t="s">
        <v>4397</v>
      </c>
      <c r="H1512" t="s">
        <v>4398</v>
      </c>
      <c r="I1512" t="s">
        <v>4399</v>
      </c>
    </row>
    <row r="1513" spans="3:9" x14ac:dyDescent="0.55000000000000004">
      <c r="C1513" s="7"/>
      <c r="E1513" t="s">
        <v>4400</v>
      </c>
      <c r="F1513">
        <v>0</v>
      </c>
      <c r="G1513" t="s">
        <v>4401</v>
      </c>
      <c r="H1513" t="s">
        <v>4402</v>
      </c>
      <c r="I1513" t="s">
        <v>4403</v>
      </c>
    </row>
    <row r="1514" spans="3:9" x14ac:dyDescent="0.55000000000000004">
      <c r="C1514" s="7"/>
      <c r="E1514" t="s">
        <v>4404</v>
      </c>
      <c r="F1514">
        <v>0</v>
      </c>
      <c r="G1514" t="s">
        <v>4405</v>
      </c>
      <c r="H1514" t="s">
        <v>4406</v>
      </c>
      <c r="I1514" t="s">
        <v>4407</v>
      </c>
    </row>
    <row r="1515" spans="3:9" x14ac:dyDescent="0.55000000000000004">
      <c r="C1515" s="7"/>
      <c r="E1515" t="s">
        <v>4408</v>
      </c>
      <c r="F1515">
        <v>0</v>
      </c>
      <c r="G1515" t="s">
        <v>4409</v>
      </c>
      <c r="H1515" t="s">
        <v>4410</v>
      </c>
      <c r="I1515" t="s">
        <v>4411</v>
      </c>
    </row>
    <row r="1516" spans="3:9" x14ac:dyDescent="0.55000000000000004">
      <c r="C1516" s="7"/>
      <c r="E1516" t="s">
        <v>4412</v>
      </c>
      <c r="F1516">
        <v>0</v>
      </c>
      <c r="G1516" t="s">
        <v>4413</v>
      </c>
      <c r="H1516" t="s">
        <v>4414</v>
      </c>
      <c r="I1516" t="s">
        <v>4415</v>
      </c>
    </row>
    <row r="1517" spans="3:9" x14ac:dyDescent="0.55000000000000004">
      <c r="C1517" s="7"/>
      <c r="E1517" t="s">
        <v>4416</v>
      </c>
      <c r="F1517">
        <v>0</v>
      </c>
      <c r="G1517" t="s">
        <v>4417</v>
      </c>
      <c r="H1517" t="s">
        <v>4418</v>
      </c>
      <c r="I1517" t="s">
        <v>4419</v>
      </c>
    </row>
    <row r="1518" spans="3:9" x14ac:dyDescent="0.55000000000000004">
      <c r="C1518" s="7"/>
      <c r="E1518" t="s">
        <v>4420</v>
      </c>
      <c r="F1518">
        <v>0</v>
      </c>
      <c r="G1518" t="s">
        <v>4421</v>
      </c>
      <c r="H1518" t="s">
        <v>4422</v>
      </c>
      <c r="I1518" t="s">
        <v>4423</v>
      </c>
    </row>
    <row r="1519" spans="3:9" x14ac:dyDescent="0.55000000000000004">
      <c r="C1519" s="7"/>
      <c r="E1519" t="s">
        <v>4424</v>
      </c>
      <c r="F1519">
        <v>0</v>
      </c>
      <c r="G1519" t="s">
        <v>4425</v>
      </c>
      <c r="H1519" t="s">
        <v>4426</v>
      </c>
      <c r="I1519" t="s">
        <v>4427</v>
      </c>
    </row>
    <row r="1520" spans="3:9" x14ac:dyDescent="0.55000000000000004">
      <c r="C1520" s="7"/>
      <c r="E1520" t="s">
        <v>4428</v>
      </c>
      <c r="F1520">
        <v>0</v>
      </c>
      <c r="G1520" t="s">
        <v>4429</v>
      </c>
      <c r="H1520" t="s">
        <v>4430</v>
      </c>
      <c r="I1520" t="s">
        <v>4431</v>
      </c>
    </row>
    <row r="1521" spans="3:9" x14ac:dyDescent="0.55000000000000004">
      <c r="C1521" s="7"/>
      <c r="E1521" t="s">
        <v>4432</v>
      </c>
      <c r="F1521">
        <v>0</v>
      </c>
      <c r="G1521" t="s">
        <v>4433</v>
      </c>
      <c r="H1521" t="s">
        <v>4434</v>
      </c>
      <c r="I1521" t="s">
        <v>4435</v>
      </c>
    </row>
    <row r="1522" spans="3:9" x14ac:dyDescent="0.55000000000000004">
      <c r="C1522" s="7"/>
      <c r="E1522" t="s">
        <v>4436</v>
      </c>
      <c r="F1522">
        <v>0</v>
      </c>
      <c r="G1522" t="s">
        <v>1675</v>
      </c>
      <c r="H1522" t="s">
        <v>4437</v>
      </c>
      <c r="I1522" t="s">
        <v>4438</v>
      </c>
    </row>
    <row r="1523" spans="3:9" x14ac:dyDescent="0.55000000000000004">
      <c r="C1523" s="7"/>
      <c r="E1523" t="s">
        <v>4440</v>
      </c>
      <c r="F1523">
        <v>0</v>
      </c>
      <c r="G1523" t="s">
        <v>4441</v>
      </c>
      <c r="H1523" t="s">
        <v>4442</v>
      </c>
      <c r="I1523" t="s">
        <v>4439</v>
      </c>
    </row>
    <row r="1524" spans="3:9" x14ac:dyDescent="0.55000000000000004">
      <c r="C1524" s="7"/>
      <c r="E1524" t="s">
        <v>4443</v>
      </c>
      <c r="F1524">
        <v>1</v>
      </c>
      <c r="G1524" t="s">
        <v>4444</v>
      </c>
      <c r="H1524" t="s">
        <v>4445</v>
      </c>
      <c r="I1524" t="s">
        <v>4439</v>
      </c>
    </row>
    <row r="1525" spans="3:9" x14ac:dyDescent="0.55000000000000004">
      <c r="C1525" s="7"/>
      <c r="E1525" t="s">
        <v>4446</v>
      </c>
      <c r="F1525">
        <v>2</v>
      </c>
      <c r="G1525" t="s">
        <v>4447</v>
      </c>
      <c r="H1525" t="s">
        <v>4448</v>
      </c>
      <c r="I1525" t="s">
        <v>4439</v>
      </c>
    </row>
    <row r="1526" spans="3:9" x14ac:dyDescent="0.55000000000000004">
      <c r="C1526" s="7"/>
      <c r="E1526" t="s">
        <v>4450</v>
      </c>
      <c r="F1526">
        <v>0</v>
      </c>
      <c r="G1526" t="s">
        <v>4451</v>
      </c>
      <c r="H1526" t="s">
        <v>4452</v>
      </c>
      <c r="I1526" t="s">
        <v>4449</v>
      </c>
    </row>
    <row r="1527" spans="3:9" x14ac:dyDescent="0.55000000000000004">
      <c r="C1527" s="7"/>
      <c r="E1527" t="s">
        <v>4453</v>
      </c>
      <c r="F1527">
        <v>1</v>
      </c>
      <c r="G1527" t="s">
        <v>4454</v>
      </c>
      <c r="H1527" t="s">
        <v>4455</v>
      </c>
      <c r="I1527" t="s">
        <v>4449</v>
      </c>
    </row>
    <row r="1528" spans="3:9" x14ac:dyDescent="0.55000000000000004">
      <c r="C1528" s="7"/>
      <c r="E1528" t="s">
        <v>4456</v>
      </c>
      <c r="F1528">
        <v>2</v>
      </c>
      <c r="G1528" t="s">
        <v>4457</v>
      </c>
      <c r="H1528" t="s">
        <v>4458</v>
      </c>
      <c r="I1528" t="s">
        <v>4449</v>
      </c>
    </row>
    <row r="1529" spans="3:9" x14ac:dyDescent="0.55000000000000004">
      <c r="C1529" s="7"/>
      <c r="E1529" t="s">
        <v>4459</v>
      </c>
      <c r="F1529">
        <v>0</v>
      </c>
      <c r="G1529" t="s">
        <v>4460</v>
      </c>
      <c r="H1529" t="s">
        <v>4461</v>
      </c>
      <c r="I1529" t="s">
        <v>4462</v>
      </c>
    </row>
    <row r="1530" spans="3:9" x14ac:dyDescent="0.55000000000000004">
      <c r="C1530" s="7"/>
      <c r="E1530" t="s">
        <v>4463</v>
      </c>
      <c r="F1530">
        <v>0</v>
      </c>
      <c r="G1530" t="s">
        <v>4464</v>
      </c>
      <c r="H1530" t="s">
        <v>4465</v>
      </c>
      <c r="I1530" t="s">
        <v>4466</v>
      </c>
    </row>
    <row r="1531" spans="3:9" x14ac:dyDescent="0.55000000000000004">
      <c r="C1531" s="7"/>
      <c r="E1531" t="s">
        <v>4467</v>
      </c>
      <c r="F1531">
        <v>0</v>
      </c>
      <c r="G1531" t="s">
        <v>4468</v>
      </c>
      <c r="H1531" t="s">
        <v>4469</v>
      </c>
      <c r="I1531" t="s">
        <v>4470</v>
      </c>
    </row>
    <row r="1532" spans="3:9" x14ac:dyDescent="0.55000000000000004">
      <c r="C1532" s="7"/>
      <c r="E1532" t="s">
        <v>4471</v>
      </c>
      <c r="F1532">
        <v>0</v>
      </c>
      <c r="G1532" t="s">
        <v>4472</v>
      </c>
      <c r="H1532" t="s">
        <v>4473</v>
      </c>
      <c r="I1532" t="s">
        <v>4474</v>
      </c>
    </row>
    <row r="1533" spans="3:9" x14ac:dyDescent="0.55000000000000004">
      <c r="C1533" s="7"/>
      <c r="E1533" t="s">
        <v>4475</v>
      </c>
      <c r="F1533">
        <v>0</v>
      </c>
      <c r="G1533" t="s">
        <v>4476</v>
      </c>
      <c r="H1533" t="s">
        <v>4477</v>
      </c>
      <c r="I1533" t="s">
        <v>4478</v>
      </c>
    </row>
    <row r="1534" spans="3:9" x14ac:dyDescent="0.55000000000000004">
      <c r="C1534" s="7"/>
      <c r="E1534" t="s">
        <v>4479</v>
      </c>
      <c r="F1534">
        <v>0</v>
      </c>
      <c r="G1534" t="s">
        <v>4480</v>
      </c>
      <c r="H1534" t="s">
        <v>4481</v>
      </c>
      <c r="I1534" t="s">
        <v>4482</v>
      </c>
    </row>
    <row r="1535" spans="3:9" x14ac:dyDescent="0.55000000000000004">
      <c r="C1535" s="7"/>
      <c r="E1535" t="s">
        <v>4483</v>
      </c>
      <c r="F1535">
        <v>0</v>
      </c>
      <c r="G1535" t="s">
        <v>4484</v>
      </c>
      <c r="H1535" t="s">
        <v>4485</v>
      </c>
      <c r="I1535" t="s">
        <v>4486</v>
      </c>
    </row>
    <row r="1536" spans="3:9" x14ac:dyDescent="0.55000000000000004">
      <c r="C1536" s="7"/>
      <c r="E1536" t="s">
        <v>4488</v>
      </c>
      <c r="F1536">
        <v>0</v>
      </c>
      <c r="G1536" t="s">
        <v>4489</v>
      </c>
      <c r="H1536" t="s">
        <v>4490</v>
      </c>
      <c r="I1536" t="s">
        <v>4487</v>
      </c>
    </row>
    <row r="1537" spans="3:9" x14ac:dyDescent="0.55000000000000004">
      <c r="C1537" s="7"/>
      <c r="E1537" t="s">
        <v>4491</v>
      </c>
      <c r="F1537">
        <v>1</v>
      </c>
      <c r="G1537" t="s">
        <v>4492</v>
      </c>
      <c r="H1537" t="s">
        <v>4493</v>
      </c>
      <c r="I1537" t="s">
        <v>4487</v>
      </c>
    </row>
    <row r="1538" spans="3:9" x14ac:dyDescent="0.55000000000000004">
      <c r="C1538" s="7"/>
      <c r="E1538" t="s">
        <v>4494</v>
      </c>
      <c r="F1538">
        <v>2</v>
      </c>
      <c r="G1538" t="s">
        <v>4495</v>
      </c>
      <c r="H1538" t="s">
        <v>4496</v>
      </c>
      <c r="I1538" t="s">
        <v>4487</v>
      </c>
    </row>
    <row r="1539" spans="3:9" x14ac:dyDescent="0.55000000000000004">
      <c r="C1539" s="7"/>
      <c r="E1539" t="s">
        <v>4497</v>
      </c>
      <c r="F1539">
        <v>0</v>
      </c>
      <c r="G1539" t="s">
        <v>4498</v>
      </c>
      <c r="H1539" t="s">
        <v>4499</v>
      </c>
      <c r="I1539" t="s">
        <v>4500</v>
      </c>
    </row>
    <row r="1540" spans="3:9" x14ac:dyDescent="0.55000000000000004">
      <c r="C1540" s="7"/>
      <c r="E1540" t="s">
        <v>4501</v>
      </c>
      <c r="F1540">
        <v>0</v>
      </c>
      <c r="G1540" t="s">
        <v>4502</v>
      </c>
      <c r="H1540" t="s">
        <v>4503</v>
      </c>
      <c r="I1540" t="s">
        <v>4504</v>
      </c>
    </row>
    <row r="1541" spans="3:9" x14ac:dyDescent="0.55000000000000004">
      <c r="C1541" s="7"/>
      <c r="E1541" t="s">
        <v>4505</v>
      </c>
      <c r="F1541">
        <v>0</v>
      </c>
      <c r="G1541" t="s">
        <v>4506</v>
      </c>
      <c r="H1541" t="s">
        <v>4507</v>
      </c>
      <c r="I1541" t="s">
        <v>4508</v>
      </c>
    </row>
    <row r="1542" spans="3:9" x14ac:dyDescent="0.55000000000000004">
      <c r="C1542" s="7"/>
      <c r="E1542" t="s">
        <v>4509</v>
      </c>
      <c r="F1542">
        <v>0</v>
      </c>
      <c r="G1542" t="s">
        <v>4510</v>
      </c>
      <c r="H1542" t="s">
        <v>4511</v>
      </c>
      <c r="I1542" t="s">
        <v>4512</v>
      </c>
    </row>
    <row r="1543" spans="3:9" x14ac:dyDescent="0.55000000000000004">
      <c r="C1543" s="7"/>
      <c r="E1543" t="s">
        <v>4513</v>
      </c>
      <c r="F1543">
        <v>0</v>
      </c>
      <c r="G1543" t="s">
        <v>4514</v>
      </c>
      <c r="H1543" t="s">
        <v>4515</v>
      </c>
      <c r="I1543" t="s">
        <v>4516</v>
      </c>
    </row>
    <row r="1544" spans="3:9" x14ac:dyDescent="0.55000000000000004">
      <c r="C1544" s="7"/>
      <c r="E1544" t="s">
        <v>4517</v>
      </c>
      <c r="F1544">
        <v>0</v>
      </c>
      <c r="G1544" t="s">
        <v>1059</v>
      </c>
      <c r="H1544" t="s">
        <v>4518</v>
      </c>
      <c r="I1544" t="s">
        <v>4519</v>
      </c>
    </row>
    <row r="1545" spans="3:9" x14ac:dyDescent="0.55000000000000004">
      <c r="C1545" s="7"/>
      <c r="E1545" t="s">
        <v>4520</v>
      </c>
      <c r="F1545">
        <v>0</v>
      </c>
      <c r="G1545" t="s">
        <v>4521</v>
      </c>
      <c r="H1545" t="s">
        <v>4522</v>
      </c>
      <c r="I1545" t="s">
        <v>4523</v>
      </c>
    </row>
    <row r="1546" spans="3:9" x14ac:dyDescent="0.55000000000000004">
      <c r="C1546" s="7"/>
      <c r="E1546" t="s">
        <v>4524</v>
      </c>
      <c r="F1546">
        <v>0</v>
      </c>
      <c r="G1546" t="s">
        <v>4525</v>
      </c>
      <c r="H1546" t="s">
        <v>4526</v>
      </c>
      <c r="I1546" t="s">
        <v>4527</v>
      </c>
    </row>
    <row r="1547" spans="3:9" x14ac:dyDescent="0.55000000000000004">
      <c r="C1547" s="7"/>
      <c r="E1547" t="s">
        <v>4528</v>
      </c>
      <c r="F1547">
        <v>0</v>
      </c>
      <c r="G1547" t="s">
        <v>4529</v>
      </c>
      <c r="H1547" t="s">
        <v>4530</v>
      </c>
      <c r="I1547" t="s">
        <v>4531</v>
      </c>
    </row>
    <row r="1548" spans="3:9" x14ac:dyDescent="0.55000000000000004">
      <c r="C1548" s="7"/>
      <c r="E1548" t="s">
        <v>4532</v>
      </c>
      <c r="F1548">
        <v>0</v>
      </c>
      <c r="G1548" t="s">
        <v>4533</v>
      </c>
      <c r="H1548" t="s">
        <v>4534</v>
      </c>
      <c r="I1548" t="s">
        <v>4535</v>
      </c>
    </row>
    <row r="1549" spans="3:9" x14ac:dyDescent="0.55000000000000004">
      <c r="C1549" s="7"/>
      <c r="E1549" t="s">
        <v>4536</v>
      </c>
      <c r="F1549">
        <v>0</v>
      </c>
      <c r="G1549" t="s">
        <v>4537</v>
      </c>
      <c r="H1549" t="s">
        <v>4538</v>
      </c>
      <c r="I1549" t="s">
        <v>4539</v>
      </c>
    </row>
    <row r="1550" spans="3:9" x14ac:dyDescent="0.55000000000000004">
      <c r="C1550" s="7"/>
      <c r="E1550" t="s">
        <v>4540</v>
      </c>
      <c r="F1550">
        <v>0</v>
      </c>
      <c r="G1550" t="s">
        <v>4541</v>
      </c>
      <c r="H1550" t="s">
        <v>4542</v>
      </c>
      <c r="I1550" t="s">
        <v>4543</v>
      </c>
    </row>
    <row r="1551" spans="3:9" x14ac:dyDescent="0.55000000000000004">
      <c r="C1551" s="7"/>
      <c r="E1551" t="s">
        <v>4544</v>
      </c>
      <c r="F1551">
        <v>0</v>
      </c>
      <c r="G1551" t="s">
        <v>4545</v>
      </c>
      <c r="H1551" t="s">
        <v>4546</v>
      </c>
      <c r="I1551" t="s">
        <v>4547</v>
      </c>
    </row>
    <row r="1552" spans="3:9" x14ac:dyDescent="0.55000000000000004">
      <c r="C1552" s="7"/>
      <c r="E1552" t="s">
        <v>4548</v>
      </c>
      <c r="F1552">
        <v>0</v>
      </c>
      <c r="G1552" t="s">
        <v>1067</v>
      </c>
      <c r="H1552" t="s">
        <v>4549</v>
      </c>
      <c r="I1552" t="s">
        <v>4550</v>
      </c>
    </row>
    <row r="1553" spans="3:9" x14ac:dyDescent="0.55000000000000004">
      <c r="C1553" s="7"/>
      <c r="E1553" t="s">
        <v>4551</v>
      </c>
      <c r="F1553">
        <v>0</v>
      </c>
      <c r="G1553" t="s">
        <v>4552</v>
      </c>
      <c r="H1553" t="s">
        <v>4553</v>
      </c>
      <c r="I1553" t="s">
        <v>4554</v>
      </c>
    </row>
    <row r="1554" spans="3:9" x14ac:dyDescent="0.55000000000000004">
      <c r="C1554" s="7"/>
      <c r="E1554" t="s">
        <v>4555</v>
      </c>
      <c r="F1554">
        <v>0</v>
      </c>
      <c r="G1554" t="s">
        <v>4556</v>
      </c>
      <c r="H1554" t="s">
        <v>4557</v>
      </c>
      <c r="I1554" t="s">
        <v>4558</v>
      </c>
    </row>
    <row r="1555" spans="3:9" x14ac:dyDescent="0.55000000000000004">
      <c r="C1555" s="7"/>
      <c r="E1555" t="s">
        <v>4559</v>
      </c>
      <c r="F1555">
        <v>0</v>
      </c>
      <c r="G1555" t="s">
        <v>4560</v>
      </c>
      <c r="H1555" t="s">
        <v>4561</v>
      </c>
      <c r="I1555" t="s">
        <v>4562</v>
      </c>
    </row>
    <row r="1556" spans="3:9" x14ac:dyDescent="0.55000000000000004">
      <c r="C1556" s="7"/>
      <c r="E1556" t="s">
        <v>4564</v>
      </c>
      <c r="F1556">
        <v>0</v>
      </c>
      <c r="G1556" t="s">
        <v>4565</v>
      </c>
      <c r="H1556" t="s">
        <v>4566</v>
      </c>
      <c r="I1556" t="s">
        <v>4563</v>
      </c>
    </row>
    <row r="1557" spans="3:9" x14ac:dyDescent="0.55000000000000004">
      <c r="C1557" s="7"/>
      <c r="E1557" t="s">
        <v>4567</v>
      </c>
      <c r="F1557">
        <v>1</v>
      </c>
      <c r="G1557" t="s">
        <v>4568</v>
      </c>
      <c r="H1557" t="s">
        <v>4569</v>
      </c>
      <c r="I1557" t="s">
        <v>4563</v>
      </c>
    </row>
    <row r="1558" spans="3:9" x14ac:dyDescent="0.55000000000000004">
      <c r="C1558" s="7"/>
      <c r="E1558" t="s">
        <v>4570</v>
      </c>
      <c r="F1558">
        <v>2</v>
      </c>
      <c r="G1558" t="s">
        <v>4571</v>
      </c>
      <c r="H1558" t="s">
        <v>4572</v>
      </c>
      <c r="I1558" t="s">
        <v>4563</v>
      </c>
    </row>
    <row r="1559" spans="3:9" x14ac:dyDescent="0.55000000000000004">
      <c r="C1559" s="7"/>
      <c r="E1559" t="s">
        <v>4573</v>
      </c>
      <c r="F1559">
        <v>0</v>
      </c>
      <c r="G1559" t="s">
        <v>4574</v>
      </c>
      <c r="H1559" t="s">
        <v>4575</v>
      </c>
      <c r="I1559" t="s">
        <v>4576</v>
      </c>
    </row>
    <row r="1560" spans="3:9" x14ac:dyDescent="0.55000000000000004">
      <c r="C1560" s="7"/>
      <c r="E1560" t="s">
        <v>4577</v>
      </c>
      <c r="F1560">
        <v>0</v>
      </c>
      <c r="G1560" t="s">
        <v>4578</v>
      </c>
      <c r="H1560" t="s">
        <v>4579</v>
      </c>
      <c r="I1560" t="s">
        <v>4580</v>
      </c>
    </row>
    <row r="1561" spans="3:9" x14ac:dyDescent="0.55000000000000004">
      <c r="C1561" s="7"/>
      <c r="E1561" t="s">
        <v>4581</v>
      </c>
      <c r="F1561">
        <v>0</v>
      </c>
      <c r="G1561" t="s">
        <v>4582</v>
      </c>
      <c r="H1561" t="s">
        <v>4583</v>
      </c>
      <c r="I1561" t="s">
        <v>4584</v>
      </c>
    </row>
    <row r="1562" spans="3:9" x14ac:dyDescent="0.55000000000000004">
      <c r="C1562" s="7"/>
      <c r="E1562" t="s">
        <v>4586</v>
      </c>
      <c r="F1562">
        <v>0</v>
      </c>
      <c r="G1562" t="s">
        <v>4587</v>
      </c>
      <c r="H1562" t="s">
        <v>4588</v>
      </c>
      <c r="I1562" t="s">
        <v>4585</v>
      </c>
    </row>
    <row r="1563" spans="3:9" x14ac:dyDescent="0.55000000000000004">
      <c r="C1563" s="7"/>
      <c r="E1563" t="s">
        <v>4589</v>
      </c>
      <c r="F1563">
        <v>1</v>
      </c>
      <c r="G1563" t="s">
        <v>4590</v>
      </c>
      <c r="H1563" t="s">
        <v>4591</v>
      </c>
      <c r="I1563" t="s">
        <v>4585</v>
      </c>
    </row>
    <row r="1564" spans="3:9" x14ac:dyDescent="0.55000000000000004">
      <c r="C1564" s="7"/>
      <c r="E1564" t="s">
        <v>4592</v>
      </c>
      <c r="F1564">
        <v>2</v>
      </c>
      <c r="G1564" t="s">
        <v>4593</v>
      </c>
      <c r="H1564" t="s">
        <v>4594</v>
      </c>
      <c r="I1564" t="s">
        <v>4585</v>
      </c>
    </row>
    <row r="1565" spans="3:9" x14ac:dyDescent="0.55000000000000004">
      <c r="C1565" s="7"/>
      <c r="E1565" t="s">
        <v>4595</v>
      </c>
      <c r="F1565">
        <v>0</v>
      </c>
      <c r="G1565" t="s">
        <v>4596</v>
      </c>
      <c r="H1565" t="s">
        <v>4597</v>
      </c>
      <c r="I1565" t="s">
        <v>4598</v>
      </c>
    </row>
    <row r="1566" spans="3:9" x14ac:dyDescent="0.55000000000000004">
      <c r="C1566" s="7"/>
      <c r="E1566" t="s">
        <v>4599</v>
      </c>
      <c r="F1566">
        <v>0</v>
      </c>
      <c r="G1566" t="s">
        <v>4600</v>
      </c>
      <c r="H1566" t="s">
        <v>4601</v>
      </c>
      <c r="I1566" t="s">
        <v>4602</v>
      </c>
    </row>
    <row r="1567" spans="3:9" x14ac:dyDescent="0.55000000000000004">
      <c r="C1567" s="7"/>
      <c r="E1567" t="s">
        <v>4603</v>
      </c>
      <c r="F1567">
        <v>0</v>
      </c>
      <c r="G1567" t="s">
        <v>4357</v>
      </c>
      <c r="H1567" t="s">
        <v>4604</v>
      </c>
      <c r="I1567" t="s">
        <v>4605</v>
      </c>
    </row>
    <row r="1568" spans="3:9" x14ac:dyDescent="0.55000000000000004">
      <c r="C1568" s="7"/>
      <c r="E1568" t="s">
        <v>4606</v>
      </c>
      <c r="F1568">
        <v>0</v>
      </c>
      <c r="G1568" t="s">
        <v>4607</v>
      </c>
      <c r="H1568" t="s">
        <v>4608</v>
      </c>
      <c r="I1568" t="s">
        <v>4609</v>
      </c>
    </row>
    <row r="1569" spans="3:9" x14ac:dyDescent="0.55000000000000004">
      <c r="C1569" s="7"/>
      <c r="E1569" t="s">
        <v>4611</v>
      </c>
      <c r="F1569">
        <v>0</v>
      </c>
      <c r="G1569" t="s">
        <v>4612</v>
      </c>
      <c r="H1569" t="s">
        <v>4613</v>
      </c>
      <c r="I1569" t="s">
        <v>4614</v>
      </c>
    </row>
    <row r="1570" spans="3:9" x14ac:dyDescent="0.55000000000000004">
      <c r="C1570" s="7"/>
      <c r="E1570" t="s">
        <v>4616</v>
      </c>
      <c r="F1570">
        <v>0</v>
      </c>
      <c r="G1570" t="s">
        <v>4617</v>
      </c>
      <c r="H1570" t="s">
        <v>4618</v>
      </c>
      <c r="I1570" t="s">
        <v>4615</v>
      </c>
    </row>
    <row r="1571" spans="3:9" x14ac:dyDescent="0.55000000000000004">
      <c r="C1571" s="7"/>
      <c r="E1571" t="s">
        <v>4619</v>
      </c>
      <c r="F1571">
        <v>1</v>
      </c>
      <c r="G1571" t="s">
        <v>4620</v>
      </c>
      <c r="H1571" t="s">
        <v>4621</v>
      </c>
      <c r="I1571" t="s">
        <v>4615</v>
      </c>
    </row>
    <row r="1572" spans="3:9" x14ac:dyDescent="0.55000000000000004">
      <c r="C1572" s="7"/>
      <c r="E1572" t="s">
        <v>4622</v>
      </c>
      <c r="F1572">
        <v>2</v>
      </c>
      <c r="G1572" t="s">
        <v>4623</v>
      </c>
      <c r="H1572" t="s">
        <v>4624</v>
      </c>
      <c r="I1572" t="s">
        <v>4615</v>
      </c>
    </row>
    <row r="1573" spans="3:9" x14ac:dyDescent="0.55000000000000004">
      <c r="C1573" s="7"/>
      <c r="E1573" t="s">
        <v>4625</v>
      </c>
      <c r="F1573">
        <v>0</v>
      </c>
      <c r="G1573" t="s">
        <v>4626</v>
      </c>
      <c r="H1573" t="s">
        <v>4627</v>
      </c>
      <c r="I1573" t="s">
        <v>4628</v>
      </c>
    </row>
    <row r="1574" spans="3:9" x14ac:dyDescent="0.55000000000000004">
      <c r="C1574" s="7"/>
      <c r="E1574" t="s">
        <v>4629</v>
      </c>
      <c r="F1574">
        <v>0</v>
      </c>
      <c r="G1574" t="s">
        <v>4630</v>
      </c>
      <c r="H1574" t="s">
        <v>4631</v>
      </c>
      <c r="I1574" t="s">
        <v>4632</v>
      </c>
    </row>
    <row r="1575" spans="3:9" x14ac:dyDescent="0.55000000000000004">
      <c r="C1575" s="7"/>
      <c r="E1575" t="s">
        <v>4634</v>
      </c>
      <c r="F1575">
        <v>0</v>
      </c>
      <c r="G1575" t="s">
        <v>4635</v>
      </c>
      <c r="H1575" t="s">
        <v>4636</v>
      </c>
      <c r="I1575" t="s">
        <v>4633</v>
      </c>
    </row>
    <row r="1576" spans="3:9" x14ac:dyDescent="0.55000000000000004">
      <c r="C1576" s="7"/>
      <c r="E1576" t="s">
        <v>4637</v>
      </c>
      <c r="F1576">
        <v>1</v>
      </c>
      <c r="G1576" t="s">
        <v>4638</v>
      </c>
      <c r="H1576" t="s">
        <v>4639</v>
      </c>
      <c r="I1576" t="s">
        <v>4633</v>
      </c>
    </row>
    <row r="1577" spans="3:9" x14ac:dyDescent="0.55000000000000004">
      <c r="C1577" s="7"/>
      <c r="E1577" t="s">
        <v>4640</v>
      </c>
      <c r="F1577">
        <v>2</v>
      </c>
      <c r="G1577" t="s">
        <v>4641</v>
      </c>
      <c r="H1577" t="s">
        <v>4642</v>
      </c>
      <c r="I1577" t="s">
        <v>4633</v>
      </c>
    </row>
    <row r="1578" spans="3:9" x14ac:dyDescent="0.55000000000000004">
      <c r="C1578" s="7"/>
      <c r="E1578" t="s">
        <v>4643</v>
      </c>
      <c r="F1578">
        <v>0</v>
      </c>
      <c r="G1578" t="s">
        <v>4644</v>
      </c>
      <c r="H1578" t="s">
        <v>4645</v>
      </c>
      <c r="I1578" t="s">
        <v>4646</v>
      </c>
    </row>
    <row r="1579" spans="3:9" x14ac:dyDescent="0.55000000000000004">
      <c r="C1579" s="7"/>
      <c r="E1579" t="s">
        <v>4647</v>
      </c>
      <c r="F1579">
        <v>0</v>
      </c>
      <c r="G1579" t="s">
        <v>4648</v>
      </c>
      <c r="H1579" t="s">
        <v>4649</v>
      </c>
      <c r="I1579" t="s">
        <v>4650</v>
      </c>
    </row>
    <row r="1580" spans="3:9" x14ac:dyDescent="0.55000000000000004">
      <c r="C1580" s="7"/>
      <c r="E1580" t="s">
        <v>4651</v>
      </c>
      <c r="F1580">
        <v>0</v>
      </c>
      <c r="G1580" t="s">
        <v>4652</v>
      </c>
      <c r="H1580" t="s">
        <v>4653</v>
      </c>
      <c r="I1580" t="s">
        <v>4654</v>
      </c>
    </row>
    <row r="1581" spans="3:9" x14ac:dyDescent="0.55000000000000004">
      <c r="C1581" s="7"/>
      <c r="E1581" t="s">
        <v>4655</v>
      </c>
      <c r="F1581">
        <v>0</v>
      </c>
      <c r="G1581" t="s">
        <v>4610</v>
      </c>
      <c r="H1581" t="s">
        <v>4656</v>
      </c>
      <c r="I1581" t="s">
        <v>4657</v>
      </c>
    </row>
    <row r="1582" spans="3:9" x14ac:dyDescent="0.55000000000000004">
      <c r="C1582" s="7"/>
      <c r="E1582" t="s">
        <v>4659</v>
      </c>
      <c r="F1582">
        <v>0</v>
      </c>
      <c r="G1582" t="s">
        <v>4660</v>
      </c>
      <c r="H1582" t="s">
        <v>4661</v>
      </c>
      <c r="I1582" t="s">
        <v>4658</v>
      </c>
    </row>
    <row r="1583" spans="3:9" x14ac:dyDescent="0.55000000000000004">
      <c r="C1583" s="7"/>
      <c r="E1583" t="s">
        <v>4662</v>
      </c>
      <c r="F1583">
        <v>1</v>
      </c>
      <c r="G1583" t="s">
        <v>4663</v>
      </c>
      <c r="H1583" t="s">
        <v>4664</v>
      </c>
      <c r="I1583" t="s">
        <v>4658</v>
      </c>
    </row>
    <row r="1584" spans="3:9" x14ac:dyDescent="0.55000000000000004">
      <c r="C1584" s="7"/>
      <c r="E1584" t="s">
        <v>4665</v>
      </c>
      <c r="F1584">
        <v>2</v>
      </c>
      <c r="G1584" t="s">
        <v>4666</v>
      </c>
      <c r="H1584" t="s">
        <v>4667</v>
      </c>
      <c r="I1584" t="s">
        <v>4658</v>
      </c>
    </row>
    <row r="1585" spans="3:9" x14ac:dyDescent="0.55000000000000004">
      <c r="C1585" s="7"/>
      <c r="E1585" t="s">
        <v>4668</v>
      </c>
      <c r="F1585">
        <v>0</v>
      </c>
      <c r="G1585" t="s">
        <v>4669</v>
      </c>
      <c r="H1585" t="s">
        <v>4670</v>
      </c>
      <c r="I1585" t="s">
        <v>4671</v>
      </c>
    </row>
    <row r="1586" spans="3:9" x14ac:dyDescent="0.55000000000000004">
      <c r="C1586" s="7"/>
      <c r="E1586" t="s">
        <v>4673</v>
      </c>
      <c r="F1586">
        <v>0</v>
      </c>
      <c r="G1586" t="s">
        <v>4674</v>
      </c>
      <c r="H1586" t="s">
        <v>4675</v>
      </c>
      <c r="I1586" t="s">
        <v>4672</v>
      </c>
    </row>
    <row r="1587" spans="3:9" x14ac:dyDescent="0.55000000000000004">
      <c r="C1587" s="7"/>
      <c r="E1587" t="s">
        <v>4676</v>
      </c>
      <c r="F1587">
        <v>1</v>
      </c>
      <c r="G1587" t="s">
        <v>4677</v>
      </c>
      <c r="H1587" t="s">
        <v>4678</v>
      </c>
      <c r="I1587" t="s">
        <v>4672</v>
      </c>
    </row>
    <row r="1588" spans="3:9" x14ac:dyDescent="0.55000000000000004">
      <c r="C1588" s="7"/>
      <c r="E1588" t="s">
        <v>4679</v>
      </c>
      <c r="F1588">
        <v>2</v>
      </c>
      <c r="G1588" t="s">
        <v>4680</v>
      </c>
      <c r="H1588" t="s">
        <v>4681</v>
      </c>
      <c r="I1588" t="s">
        <v>4672</v>
      </c>
    </row>
    <row r="1589" spans="3:9" x14ac:dyDescent="0.55000000000000004">
      <c r="C1589" s="7"/>
      <c r="E1589" t="s">
        <v>4682</v>
      </c>
      <c r="F1589">
        <v>0</v>
      </c>
      <c r="G1589" t="s">
        <v>4683</v>
      </c>
      <c r="H1589" t="s">
        <v>4684</v>
      </c>
      <c r="I1589" t="s">
        <v>4685</v>
      </c>
    </row>
    <row r="1590" spans="3:9" x14ac:dyDescent="0.55000000000000004">
      <c r="C1590" s="7"/>
      <c r="E1590" t="s">
        <v>4686</v>
      </c>
      <c r="F1590">
        <v>0</v>
      </c>
      <c r="G1590" t="s">
        <v>4687</v>
      </c>
      <c r="H1590" t="s">
        <v>4688</v>
      </c>
      <c r="I1590" t="s">
        <v>4689</v>
      </c>
    </row>
    <row r="1591" spans="3:9" x14ac:dyDescent="0.55000000000000004">
      <c r="C1591" s="7"/>
      <c r="E1591" t="s">
        <v>4690</v>
      </c>
      <c r="F1591">
        <v>0</v>
      </c>
      <c r="G1591" t="s">
        <v>4691</v>
      </c>
      <c r="H1591" t="s">
        <v>4692</v>
      </c>
      <c r="I1591" t="s">
        <v>4693</v>
      </c>
    </row>
    <row r="1592" spans="3:9" x14ac:dyDescent="0.55000000000000004">
      <c r="C1592" s="7"/>
      <c r="E1592" t="s">
        <v>4694</v>
      </c>
      <c r="F1592">
        <v>0</v>
      </c>
      <c r="G1592" t="s">
        <v>4695</v>
      </c>
      <c r="H1592" t="s">
        <v>4696</v>
      </c>
      <c r="I1592" t="s">
        <v>4697</v>
      </c>
    </row>
    <row r="1593" spans="3:9" x14ac:dyDescent="0.55000000000000004">
      <c r="C1593" s="7"/>
      <c r="E1593" t="s">
        <v>4698</v>
      </c>
      <c r="F1593">
        <v>0</v>
      </c>
      <c r="G1593" t="s">
        <v>4699</v>
      </c>
      <c r="H1593" t="s">
        <v>4700</v>
      </c>
      <c r="I1593" t="s">
        <v>4701</v>
      </c>
    </row>
    <row r="1594" spans="3:9" x14ac:dyDescent="0.55000000000000004">
      <c r="C1594" s="7"/>
      <c r="E1594" t="s">
        <v>4702</v>
      </c>
      <c r="F1594">
        <v>0</v>
      </c>
      <c r="G1594" t="s">
        <v>4703</v>
      </c>
      <c r="H1594" t="s">
        <v>4704</v>
      </c>
      <c r="I1594" t="s">
        <v>4705</v>
      </c>
    </row>
    <row r="1595" spans="3:9" x14ac:dyDescent="0.55000000000000004">
      <c r="C1595" s="7"/>
      <c r="E1595" t="s">
        <v>4706</v>
      </c>
      <c r="F1595">
        <v>0</v>
      </c>
      <c r="G1595" t="s">
        <v>4596</v>
      </c>
      <c r="H1595" t="s">
        <v>4707</v>
      </c>
      <c r="I1595" t="s">
        <v>4708</v>
      </c>
    </row>
    <row r="1596" spans="3:9" x14ac:dyDescent="0.55000000000000004">
      <c r="C1596" s="7"/>
      <c r="E1596" t="s">
        <v>4709</v>
      </c>
      <c r="F1596">
        <v>0</v>
      </c>
      <c r="G1596" t="s">
        <v>4710</v>
      </c>
      <c r="H1596" t="s">
        <v>4711</v>
      </c>
      <c r="I1596" t="s">
        <v>4712</v>
      </c>
    </row>
    <row r="1597" spans="3:9" x14ac:dyDescent="0.55000000000000004">
      <c r="C1597" s="7"/>
      <c r="E1597" t="s">
        <v>4713</v>
      </c>
      <c r="F1597">
        <v>0</v>
      </c>
      <c r="G1597" t="s">
        <v>4714</v>
      </c>
      <c r="H1597" t="s">
        <v>4715</v>
      </c>
      <c r="I1597" t="s">
        <v>4716</v>
      </c>
    </row>
    <row r="1598" spans="3:9" x14ac:dyDescent="0.55000000000000004">
      <c r="C1598" s="7"/>
      <c r="E1598" t="s">
        <v>4717</v>
      </c>
      <c r="F1598">
        <v>0</v>
      </c>
      <c r="G1598" t="s">
        <v>4718</v>
      </c>
      <c r="H1598" t="s">
        <v>4719</v>
      </c>
      <c r="I1598" t="s">
        <v>4720</v>
      </c>
    </row>
    <row r="1599" spans="3:9" x14ac:dyDescent="0.55000000000000004">
      <c r="C1599" s="7"/>
      <c r="E1599" t="s">
        <v>4721</v>
      </c>
      <c r="F1599">
        <v>0</v>
      </c>
      <c r="G1599" t="s">
        <v>4722</v>
      </c>
      <c r="H1599" t="s">
        <v>4723</v>
      </c>
      <c r="I1599" t="s">
        <v>4724</v>
      </c>
    </row>
    <row r="1600" spans="3:9" x14ac:dyDescent="0.55000000000000004">
      <c r="C1600" s="7"/>
      <c r="E1600" t="s">
        <v>4725</v>
      </c>
      <c r="F1600">
        <v>0</v>
      </c>
      <c r="G1600" t="s">
        <v>4529</v>
      </c>
      <c r="H1600" t="s">
        <v>4726</v>
      </c>
      <c r="I1600" t="s">
        <v>4727</v>
      </c>
    </row>
    <row r="1601" spans="3:9" x14ac:dyDescent="0.55000000000000004">
      <c r="C1601" s="7"/>
      <c r="E1601" t="s">
        <v>4728</v>
      </c>
      <c r="F1601">
        <v>0</v>
      </c>
      <c r="G1601" t="s">
        <v>4729</v>
      </c>
      <c r="H1601" t="s">
        <v>4730</v>
      </c>
      <c r="I1601" t="s">
        <v>4731</v>
      </c>
    </row>
    <row r="1602" spans="3:9" x14ac:dyDescent="0.55000000000000004">
      <c r="C1602" s="7"/>
      <c r="E1602" t="s">
        <v>4732</v>
      </c>
      <c r="F1602">
        <v>0</v>
      </c>
      <c r="G1602" t="s">
        <v>4733</v>
      </c>
      <c r="H1602" t="s">
        <v>4734</v>
      </c>
      <c r="I1602" t="s">
        <v>4735</v>
      </c>
    </row>
    <row r="1603" spans="3:9" x14ac:dyDescent="0.55000000000000004">
      <c r="C1603" s="7"/>
      <c r="E1603" t="s">
        <v>4736</v>
      </c>
      <c r="F1603">
        <v>0</v>
      </c>
      <c r="G1603" t="s">
        <v>4737</v>
      </c>
      <c r="H1603" t="s">
        <v>4738</v>
      </c>
      <c r="I1603" t="s">
        <v>4739</v>
      </c>
    </row>
    <row r="1604" spans="3:9" x14ac:dyDescent="0.55000000000000004">
      <c r="C1604" s="7"/>
      <c r="E1604" t="s">
        <v>4740</v>
      </c>
      <c r="F1604">
        <v>0</v>
      </c>
      <c r="G1604" t="s">
        <v>4537</v>
      </c>
      <c r="H1604" t="s">
        <v>4741</v>
      </c>
      <c r="I1604" t="s">
        <v>4742</v>
      </c>
    </row>
    <row r="1605" spans="3:9" x14ac:dyDescent="0.55000000000000004">
      <c r="C1605" s="7"/>
      <c r="E1605" t="s">
        <v>4743</v>
      </c>
      <c r="F1605">
        <v>0</v>
      </c>
      <c r="G1605" t="s">
        <v>4744</v>
      </c>
      <c r="H1605" t="s">
        <v>4745</v>
      </c>
      <c r="I1605" t="s">
        <v>4746</v>
      </c>
    </row>
    <row r="1606" spans="3:9" x14ac:dyDescent="0.55000000000000004">
      <c r="C1606" s="7"/>
      <c r="E1606" t="s">
        <v>4747</v>
      </c>
      <c r="F1606">
        <v>0</v>
      </c>
      <c r="G1606" t="s">
        <v>4607</v>
      </c>
      <c r="H1606" t="s">
        <v>4748</v>
      </c>
      <c r="I1606" t="s">
        <v>4749</v>
      </c>
    </row>
    <row r="1607" spans="3:9" x14ac:dyDescent="0.55000000000000004">
      <c r="C1607" s="7"/>
      <c r="E1607" t="s">
        <v>4750</v>
      </c>
      <c r="F1607">
        <v>0</v>
      </c>
      <c r="G1607" t="s">
        <v>1566</v>
      </c>
      <c r="H1607" t="s">
        <v>4751</v>
      </c>
      <c r="I1607" t="s">
        <v>4752</v>
      </c>
    </row>
    <row r="1608" spans="3:9" x14ac:dyDescent="0.55000000000000004">
      <c r="C1608" s="7"/>
      <c r="E1608" t="s">
        <v>4753</v>
      </c>
      <c r="F1608">
        <v>0</v>
      </c>
      <c r="G1608" t="s">
        <v>4754</v>
      </c>
      <c r="H1608" t="s">
        <v>4755</v>
      </c>
      <c r="I1608" t="s">
        <v>4756</v>
      </c>
    </row>
    <row r="1609" spans="3:9" x14ac:dyDescent="0.55000000000000004">
      <c r="C1609" s="7"/>
      <c r="E1609" t="s">
        <v>4757</v>
      </c>
      <c r="F1609">
        <v>0</v>
      </c>
      <c r="G1609" t="s">
        <v>4758</v>
      </c>
      <c r="H1609" t="s">
        <v>4759</v>
      </c>
      <c r="I1609" t="s">
        <v>4760</v>
      </c>
    </row>
    <row r="1610" spans="3:9" x14ac:dyDescent="0.55000000000000004">
      <c r="C1610" s="7"/>
      <c r="E1610" t="s">
        <v>4761</v>
      </c>
      <c r="F1610">
        <v>0</v>
      </c>
      <c r="G1610" t="s">
        <v>4762</v>
      </c>
      <c r="H1610" t="s">
        <v>4763</v>
      </c>
      <c r="I1610" t="s">
        <v>4764</v>
      </c>
    </row>
    <row r="1611" spans="3:9" x14ac:dyDescent="0.55000000000000004">
      <c r="C1611" s="7"/>
      <c r="E1611" t="s">
        <v>4765</v>
      </c>
      <c r="F1611">
        <v>0</v>
      </c>
      <c r="G1611" t="s">
        <v>4766</v>
      </c>
      <c r="H1611" t="s">
        <v>4767</v>
      </c>
      <c r="I1611" t="s">
        <v>4768</v>
      </c>
    </row>
    <row r="1612" spans="3:9" x14ac:dyDescent="0.55000000000000004">
      <c r="C1612" s="7"/>
      <c r="E1612" t="s">
        <v>4769</v>
      </c>
      <c r="F1612">
        <v>0</v>
      </c>
      <c r="G1612" t="s">
        <v>4770</v>
      </c>
      <c r="H1612" t="s">
        <v>4771</v>
      </c>
      <c r="I1612" t="s">
        <v>4772</v>
      </c>
    </row>
    <row r="1613" spans="3:9" x14ac:dyDescent="0.55000000000000004">
      <c r="C1613" s="7"/>
      <c r="E1613" t="s">
        <v>4773</v>
      </c>
      <c r="F1613">
        <v>0</v>
      </c>
      <c r="G1613" t="s">
        <v>4774</v>
      </c>
      <c r="H1613" t="s">
        <v>4775</v>
      </c>
      <c r="I1613" t="s">
        <v>4776</v>
      </c>
    </row>
    <row r="1614" spans="3:9" x14ac:dyDescent="0.55000000000000004">
      <c r="C1614" s="7"/>
      <c r="E1614" t="s">
        <v>4777</v>
      </c>
      <c r="F1614">
        <v>0</v>
      </c>
      <c r="G1614" t="s">
        <v>4778</v>
      </c>
      <c r="H1614" t="s">
        <v>4779</v>
      </c>
      <c r="I1614" t="s">
        <v>4780</v>
      </c>
    </row>
    <row r="1615" spans="3:9" x14ac:dyDescent="0.55000000000000004">
      <c r="C1615" s="7"/>
      <c r="E1615" t="s">
        <v>4781</v>
      </c>
      <c r="F1615">
        <v>0</v>
      </c>
      <c r="G1615" t="s">
        <v>1191</v>
      </c>
      <c r="H1615" t="s">
        <v>4782</v>
      </c>
      <c r="I1615" t="s">
        <v>4783</v>
      </c>
    </row>
    <row r="1616" spans="3:9" x14ac:dyDescent="0.55000000000000004">
      <c r="C1616" s="7"/>
      <c r="E1616" t="s">
        <v>4784</v>
      </c>
      <c r="F1616">
        <v>0</v>
      </c>
      <c r="G1616" t="s">
        <v>4785</v>
      </c>
      <c r="H1616" t="s">
        <v>4786</v>
      </c>
      <c r="I1616" t="s">
        <v>4787</v>
      </c>
    </row>
    <row r="1617" spans="3:9" x14ac:dyDescent="0.55000000000000004">
      <c r="C1617" s="7"/>
      <c r="E1617" t="s">
        <v>4788</v>
      </c>
      <c r="F1617">
        <v>0</v>
      </c>
      <c r="G1617" t="s">
        <v>1967</v>
      </c>
      <c r="H1617" t="s">
        <v>4789</v>
      </c>
      <c r="I1617" t="s">
        <v>4790</v>
      </c>
    </row>
    <row r="1618" spans="3:9" x14ac:dyDescent="0.55000000000000004">
      <c r="C1618" s="7"/>
      <c r="E1618" t="s">
        <v>4791</v>
      </c>
      <c r="F1618">
        <v>0</v>
      </c>
      <c r="G1618" t="s">
        <v>4792</v>
      </c>
      <c r="H1618" t="s">
        <v>4793</v>
      </c>
      <c r="I1618" t="s">
        <v>4794</v>
      </c>
    </row>
    <row r="1619" spans="3:9" x14ac:dyDescent="0.55000000000000004">
      <c r="C1619" s="7"/>
      <c r="E1619" t="s">
        <v>4795</v>
      </c>
      <c r="F1619">
        <v>0</v>
      </c>
      <c r="G1619" t="s">
        <v>2716</v>
      </c>
      <c r="H1619" t="s">
        <v>4796</v>
      </c>
      <c r="I1619" t="s">
        <v>4797</v>
      </c>
    </row>
    <row r="1620" spans="3:9" x14ac:dyDescent="0.55000000000000004">
      <c r="C1620" s="7"/>
      <c r="E1620" t="s">
        <v>4798</v>
      </c>
      <c r="F1620">
        <v>0</v>
      </c>
      <c r="G1620" t="s">
        <v>2402</v>
      </c>
      <c r="H1620" t="s">
        <v>4799</v>
      </c>
      <c r="I1620" t="s">
        <v>4800</v>
      </c>
    </row>
    <row r="1621" spans="3:9" x14ac:dyDescent="0.55000000000000004">
      <c r="C1621" s="7"/>
      <c r="E1621" t="s">
        <v>4801</v>
      </c>
      <c r="F1621">
        <v>0</v>
      </c>
      <c r="G1621" t="s">
        <v>4802</v>
      </c>
      <c r="H1621" t="s">
        <v>4803</v>
      </c>
      <c r="I1621" t="s">
        <v>4804</v>
      </c>
    </row>
    <row r="1622" spans="3:9" x14ac:dyDescent="0.55000000000000004">
      <c r="C1622" s="7"/>
      <c r="E1622" t="s">
        <v>4805</v>
      </c>
      <c r="F1622">
        <v>0</v>
      </c>
      <c r="G1622" t="s">
        <v>4806</v>
      </c>
      <c r="H1622" t="s">
        <v>4807</v>
      </c>
      <c r="I1622" t="s">
        <v>4808</v>
      </c>
    </row>
    <row r="1623" spans="3:9" x14ac:dyDescent="0.55000000000000004">
      <c r="C1623" s="7"/>
      <c r="E1623" t="s">
        <v>4809</v>
      </c>
      <c r="F1623">
        <v>0</v>
      </c>
      <c r="G1623" t="s">
        <v>4810</v>
      </c>
      <c r="H1623" t="s">
        <v>4811</v>
      </c>
      <c r="I1623" t="s">
        <v>4812</v>
      </c>
    </row>
    <row r="1624" spans="3:9" x14ac:dyDescent="0.55000000000000004">
      <c r="C1624" s="7"/>
      <c r="E1624" t="s">
        <v>4813</v>
      </c>
      <c r="F1624">
        <v>0</v>
      </c>
      <c r="G1624" t="s">
        <v>2011</v>
      </c>
      <c r="H1624" t="s">
        <v>4814</v>
      </c>
      <c r="I1624" t="s">
        <v>4815</v>
      </c>
    </row>
    <row r="1625" spans="3:9" x14ac:dyDescent="0.55000000000000004">
      <c r="C1625" s="7"/>
      <c r="E1625" t="s">
        <v>4816</v>
      </c>
      <c r="F1625">
        <v>0</v>
      </c>
      <c r="G1625" t="s">
        <v>4817</v>
      </c>
      <c r="H1625" t="s">
        <v>4818</v>
      </c>
      <c r="I1625" t="s">
        <v>4819</v>
      </c>
    </row>
    <row r="1626" spans="3:9" x14ac:dyDescent="0.55000000000000004">
      <c r="C1626" s="7"/>
      <c r="E1626" t="s">
        <v>4820</v>
      </c>
      <c r="F1626">
        <v>0</v>
      </c>
      <c r="G1626" t="s">
        <v>4821</v>
      </c>
      <c r="H1626" t="s">
        <v>4822</v>
      </c>
      <c r="I1626" t="s">
        <v>4823</v>
      </c>
    </row>
    <row r="1627" spans="3:9" x14ac:dyDescent="0.55000000000000004">
      <c r="C1627" s="7"/>
      <c r="E1627" t="s">
        <v>4824</v>
      </c>
      <c r="F1627">
        <v>0</v>
      </c>
      <c r="G1627" t="s">
        <v>4825</v>
      </c>
      <c r="H1627" t="s">
        <v>4826</v>
      </c>
      <c r="I1627" t="s">
        <v>4827</v>
      </c>
    </row>
    <row r="1628" spans="3:9" x14ac:dyDescent="0.55000000000000004">
      <c r="C1628" s="7"/>
      <c r="E1628" t="s">
        <v>4828</v>
      </c>
      <c r="F1628">
        <v>0</v>
      </c>
      <c r="G1628" t="s">
        <v>4829</v>
      </c>
      <c r="H1628" t="s">
        <v>4830</v>
      </c>
      <c r="I1628" t="s">
        <v>4831</v>
      </c>
    </row>
    <row r="1629" spans="3:9" x14ac:dyDescent="0.55000000000000004">
      <c r="C1629" s="7"/>
      <c r="E1629" t="s">
        <v>4832</v>
      </c>
      <c r="F1629">
        <v>0</v>
      </c>
      <c r="G1629" t="s">
        <v>4833</v>
      </c>
      <c r="H1629" t="s">
        <v>4834</v>
      </c>
      <c r="I1629" t="s">
        <v>4835</v>
      </c>
    </row>
    <row r="1630" spans="3:9" x14ac:dyDescent="0.55000000000000004">
      <c r="C1630" s="7"/>
      <c r="E1630" t="s">
        <v>4836</v>
      </c>
      <c r="F1630">
        <v>0</v>
      </c>
      <c r="G1630" t="s">
        <v>4837</v>
      </c>
      <c r="H1630" t="s">
        <v>4838</v>
      </c>
      <c r="I1630" t="s">
        <v>4839</v>
      </c>
    </row>
    <row r="1631" spans="3:9" x14ac:dyDescent="0.55000000000000004">
      <c r="C1631" s="7"/>
      <c r="E1631" t="s">
        <v>4840</v>
      </c>
      <c r="F1631">
        <v>0</v>
      </c>
      <c r="G1631" t="s">
        <v>4841</v>
      </c>
      <c r="H1631" t="s">
        <v>4842</v>
      </c>
      <c r="I1631" t="s">
        <v>4843</v>
      </c>
    </row>
    <row r="1632" spans="3:9" x14ac:dyDescent="0.55000000000000004">
      <c r="C1632" s="7"/>
      <c r="E1632" t="s">
        <v>4844</v>
      </c>
      <c r="F1632">
        <v>0</v>
      </c>
      <c r="G1632" t="s">
        <v>4845</v>
      </c>
      <c r="H1632" t="s">
        <v>4846</v>
      </c>
      <c r="I1632" t="s">
        <v>4847</v>
      </c>
    </row>
    <row r="1633" spans="3:9" x14ac:dyDescent="0.55000000000000004">
      <c r="C1633" s="7"/>
      <c r="E1633" t="s">
        <v>4848</v>
      </c>
      <c r="F1633">
        <v>0</v>
      </c>
      <c r="G1633" t="s">
        <v>4849</v>
      </c>
      <c r="H1633" t="s">
        <v>4850</v>
      </c>
      <c r="I1633" t="s">
        <v>4851</v>
      </c>
    </row>
    <row r="1634" spans="3:9" x14ac:dyDescent="0.55000000000000004">
      <c r="C1634" s="7"/>
      <c r="E1634" t="s">
        <v>4852</v>
      </c>
      <c r="F1634">
        <v>0</v>
      </c>
      <c r="G1634" t="s">
        <v>1847</v>
      </c>
      <c r="H1634" t="s">
        <v>4853</v>
      </c>
      <c r="I1634" t="s">
        <v>4854</v>
      </c>
    </row>
    <row r="1635" spans="3:9" x14ac:dyDescent="0.55000000000000004">
      <c r="C1635" s="7"/>
      <c r="E1635" t="s">
        <v>4855</v>
      </c>
      <c r="F1635">
        <v>0</v>
      </c>
      <c r="G1635" t="s">
        <v>4856</v>
      </c>
      <c r="H1635" t="s">
        <v>4857</v>
      </c>
      <c r="I1635" t="s">
        <v>4858</v>
      </c>
    </row>
    <row r="1636" spans="3:9" x14ac:dyDescent="0.55000000000000004">
      <c r="C1636" s="7"/>
      <c r="E1636" t="s">
        <v>4859</v>
      </c>
      <c r="F1636">
        <v>0</v>
      </c>
      <c r="G1636" t="s">
        <v>4860</v>
      </c>
      <c r="H1636" t="s">
        <v>4861</v>
      </c>
      <c r="I1636" t="s">
        <v>4862</v>
      </c>
    </row>
    <row r="1637" spans="3:9" x14ac:dyDescent="0.55000000000000004">
      <c r="C1637" s="7"/>
      <c r="E1637" t="s">
        <v>4863</v>
      </c>
      <c r="F1637">
        <v>0</v>
      </c>
      <c r="G1637" t="s">
        <v>4864</v>
      </c>
      <c r="H1637" t="s">
        <v>4865</v>
      </c>
      <c r="I1637" t="s">
        <v>4866</v>
      </c>
    </row>
    <row r="1638" spans="3:9" x14ac:dyDescent="0.55000000000000004">
      <c r="C1638" s="7"/>
      <c r="E1638" t="s">
        <v>4867</v>
      </c>
      <c r="F1638">
        <v>0</v>
      </c>
      <c r="G1638" t="s">
        <v>4868</v>
      </c>
      <c r="H1638" t="s">
        <v>4869</v>
      </c>
      <c r="I1638" t="s">
        <v>4870</v>
      </c>
    </row>
    <row r="1639" spans="3:9" x14ac:dyDescent="0.55000000000000004">
      <c r="C1639" s="7"/>
      <c r="E1639" t="s">
        <v>4871</v>
      </c>
      <c r="F1639">
        <v>0</v>
      </c>
      <c r="G1639" t="s">
        <v>4872</v>
      </c>
      <c r="H1639" t="s">
        <v>4873</v>
      </c>
      <c r="I1639" t="s">
        <v>4874</v>
      </c>
    </row>
    <row r="1640" spans="3:9" x14ac:dyDescent="0.55000000000000004">
      <c r="C1640" s="7"/>
      <c r="E1640" t="s">
        <v>4875</v>
      </c>
      <c r="F1640">
        <v>0</v>
      </c>
      <c r="G1640" t="s">
        <v>4876</v>
      </c>
      <c r="H1640" t="s">
        <v>4877</v>
      </c>
      <c r="I1640" t="s">
        <v>4878</v>
      </c>
    </row>
    <row r="1641" spans="3:9" x14ac:dyDescent="0.55000000000000004">
      <c r="C1641" s="7"/>
      <c r="E1641" t="s">
        <v>4879</v>
      </c>
      <c r="F1641">
        <v>0</v>
      </c>
      <c r="G1641" t="s">
        <v>4880</v>
      </c>
      <c r="H1641" t="s">
        <v>4881</v>
      </c>
      <c r="I1641" t="s">
        <v>4882</v>
      </c>
    </row>
    <row r="1642" spans="3:9" x14ac:dyDescent="0.55000000000000004">
      <c r="C1642" s="7"/>
      <c r="E1642" t="s">
        <v>4883</v>
      </c>
      <c r="F1642">
        <v>0</v>
      </c>
      <c r="G1642" t="s">
        <v>4884</v>
      </c>
      <c r="H1642" t="s">
        <v>4885</v>
      </c>
      <c r="I1642" t="s">
        <v>4886</v>
      </c>
    </row>
    <row r="1643" spans="3:9" x14ac:dyDescent="0.55000000000000004">
      <c r="C1643" s="7"/>
      <c r="E1643" t="s">
        <v>4887</v>
      </c>
      <c r="F1643">
        <v>0</v>
      </c>
      <c r="G1643" t="s">
        <v>4888</v>
      </c>
      <c r="H1643" t="s">
        <v>4889</v>
      </c>
      <c r="I1643" t="s">
        <v>4890</v>
      </c>
    </row>
    <row r="1644" spans="3:9" x14ac:dyDescent="0.55000000000000004">
      <c r="C1644" s="7"/>
      <c r="E1644" t="s">
        <v>4891</v>
      </c>
      <c r="F1644">
        <v>0</v>
      </c>
      <c r="G1644" t="s">
        <v>4892</v>
      </c>
      <c r="H1644" t="s">
        <v>4893</v>
      </c>
      <c r="I1644" t="s">
        <v>4894</v>
      </c>
    </row>
    <row r="1645" spans="3:9" x14ac:dyDescent="0.55000000000000004">
      <c r="C1645" s="7"/>
      <c r="E1645" t="s">
        <v>4895</v>
      </c>
      <c r="F1645">
        <v>0</v>
      </c>
      <c r="G1645" t="s">
        <v>2636</v>
      </c>
      <c r="H1645" t="s">
        <v>4896</v>
      </c>
      <c r="I1645" t="s">
        <v>4897</v>
      </c>
    </row>
    <row r="1646" spans="3:9" x14ac:dyDescent="0.55000000000000004">
      <c r="C1646" s="7"/>
      <c r="E1646" t="s">
        <v>4898</v>
      </c>
      <c r="F1646">
        <v>0</v>
      </c>
      <c r="G1646" t="s">
        <v>4899</v>
      </c>
      <c r="H1646" t="s">
        <v>4900</v>
      </c>
      <c r="I1646" t="s">
        <v>4901</v>
      </c>
    </row>
    <row r="1647" spans="3:9" x14ac:dyDescent="0.55000000000000004">
      <c r="C1647" s="7"/>
      <c r="E1647" t="s">
        <v>4902</v>
      </c>
      <c r="F1647">
        <v>0</v>
      </c>
      <c r="G1647" t="s">
        <v>4903</v>
      </c>
      <c r="H1647" t="s">
        <v>4904</v>
      </c>
      <c r="I1647" t="s">
        <v>4905</v>
      </c>
    </row>
    <row r="1648" spans="3:9" x14ac:dyDescent="0.55000000000000004">
      <c r="C1648" s="7"/>
      <c r="E1648" t="s">
        <v>4906</v>
      </c>
      <c r="F1648">
        <v>0</v>
      </c>
      <c r="G1648" t="s">
        <v>4907</v>
      </c>
      <c r="H1648" t="s">
        <v>4908</v>
      </c>
      <c r="I1648" t="s">
        <v>4909</v>
      </c>
    </row>
    <row r="1649" spans="3:9" x14ac:dyDescent="0.55000000000000004">
      <c r="C1649" s="7"/>
      <c r="E1649" t="s">
        <v>4910</v>
      </c>
      <c r="F1649">
        <v>0</v>
      </c>
      <c r="G1649" t="s">
        <v>4911</v>
      </c>
      <c r="H1649" t="s">
        <v>4912</v>
      </c>
      <c r="I1649" t="s">
        <v>4913</v>
      </c>
    </row>
    <row r="1650" spans="3:9" x14ac:dyDescent="0.55000000000000004">
      <c r="C1650" s="7"/>
      <c r="E1650" t="s">
        <v>4914</v>
      </c>
      <c r="F1650">
        <v>0</v>
      </c>
      <c r="G1650" t="s">
        <v>4915</v>
      </c>
      <c r="H1650" t="s">
        <v>4916</v>
      </c>
      <c r="I1650" t="s">
        <v>4917</v>
      </c>
    </row>
    <row r="1651" spans="3:9" x14ac:dyDescent="0.55000000000000004">
      <c r="C1651" s="7"/>
      <c r="E1651" t="s">
        <v>4918</v>
      </c>
      <c r="F1651">
        <v>0</v>
      </c>
      <c r="G1651" t="s">
        <v>4919</v>
      </c>
      <c r="H1651" t="s">
        <v>4920</v>
      </c>
      <c r="I1651" t="s">
        <v>4921</v>
      </c>
    </row>
    <row r="1652" spans="3:9" x14ac:dyDescent="0.55000000000000004">
      <c r="C1652" s="7"/>
      <c r="E1652" t="s">
        <v>4922</v>
      </c>
      <c r="F1652">
        <v>0</v>
      </c>
      <c r="G1652" t="s">
        <v>4923</v>
      </c>
      <c r="H1652" t="s">
        <v>4924</v>
      </c>
      <c r="I1652" t="s">
        <v>4925</v>
      </c>
    </row>
    <row r="1653" spans="3:9" x14ac:dyDescent="0.55000000000000004">
      <c r="C1653" s="7"/>
      <c r="E1653" t="s">
        <v>4926</v>
      </c>
      <c r="F1653">
        <v>0</v>
      </c>
      <c r="G1653" t="s">
        <v>4927</v>
      </c>
      <c r="H1653" t="s">
        <v>4928</v>
      </c>
      <c r="I1653" t="s">
        <v>4929</v>
      </c>
    </row>
    <row r="1654" spans="3:9" x14ac:dyDescent="0.55000000000000004">
      <c r="C1654" s="7"/>
      <c r="E1654" t="s">
        <v>4930</v>
      </c>
      <c r="F1654">
        <v>0</v>
      </c>
      <c r="G1654" t="s">
        <v>4931</v>
      </c>
      <c r="H1654" t="s">
        <v>4932</v>
      </c>
      <c r="I1654" t="s">
        <v>4933</v>
      </c>
    </row>
    <row r="1655" spans="3:9" x14ac:dyDescent="0.55000000000000004">
      <c r="C1655" s="7"/>
      <c r="E1655" t="s">
        <v>4935</v>
      </c>
      <c r="F1655">
        <v>0</v>
      </c>
      <c r="G1655" t="s">
        <v>4936</v>
      </c>
      <c r="H1655" t="s">
        <v>4937</v>
      </c>
      <c r="I1655" t="s">
        <v>4938</v>
      </c>
    </row>
    <row r="1656" spans="3:9" x14ac:dyDescent="0.55000000000000004">
      <c r="C1656" s="7"/>
      <c r="E1656" t="s">
        <v>4939</v>
      </c>
      <c r="F1656">
        <v>0</v>
      </c>
      <c r="G1656" t="s">
        <v>4934</v>
      </c>
      <c r="H1656" t="s">
        <v>4940</v>
      </c>
      <c r="I1656" t="s">
        <v>4941</v>
      </c>
    </row>
    <row r="1657" spans="3:9" x14ac:dyDescent="0.55000000000000004">
      <c r="C1657" s="7"/>
      <c r="E1657" t="s">
        <v>4942</v>
      </c>
      <c r="F1657">
        <v>0</v>
      </c>
      <c r="G1657" t="s">
        <v>4943</v>
      </c>
      <c r="H1657" t="s">
        <v>4944</v>
      </c>
      <c r="I1657" t="s">
        <v>4945</v>
      </c>
    </row>
    <row r="1658" spans="3:9" x14ac:dyDescent="0.55000000000000004">
      <c r="C1658" s="7"/>
      <c r="E1658" t="s">
        <v>4946</v>
      </c>
      <c r="F1658">
        <v>0</v>
      </c>
      <c r="G1658" t="s">
        <v>4947</v>
      </c>
      <c r="H1658" t="s">
        <v>4948</v>
      </c>
      <c r="I1658" t="s">
        <v>4949</v>
      </c>
    </row>
    <row r="1659" spans="3:9" x14ac:dyDescent="0.55000000000000004">
      <c r="C1659" s="7"/>
      <c r="E1659" t="s">
        <v>4950</v>
      </c>
      <c r="F1659">
        <v>0</v>
      </c>
      <c r="G1659" t="s">
        <v>4951</v>
      </c>
      <c r="H1659" t="s">
        <v>4952</v>
      </c>
      <c r="I1659" t="s">
        <v>4953</v>
      </c>
    </row>
    <row r="1660" spans="3:9" x14ac:dyDescent="0.55000000000000004">
      <c r="C1660" s="7"/>
      <c r="E1660" t="s">
        <v>4954</v>
      </c>
      <c r="F1660">
        <v>0</v>
      </c>
      <c r="G1660" t="s">
        <v>4955</v>
      </c>
      <c r="H1660" t="s">
        <v>4956</v>
      </c>
      <c r="I1660" t="s">
        <v>4957</v>
      </c>
    </row>
    <row r="1661" spans="3:9" x14ac:dyDescent="0.55000000000000004">
      <c r="C1661" s="7"/>
      <c r="E1661" t="s">
        <v>4958</v>
      </c>
      <c r="F1661">
        <v>0</v>
      </c>
      <c r="G1661" t="s">
        <v>4959</v>
      </c>
      <c r="H1661" t="s">
        <v>4960</v>
      </c>
      <c r="I1661" t="s">
        <v>4961</v>
      </c>
    </row>
    <row r="1662" spans="3:9" x14ac:dyDescent="0.55000000000000004">
      <c r="C1662" s="7"/>
      <c r="E1662" t="s">
        <v>4962</v>
      </c>
      <c r="F1662">
        <v>0</v>
      </c>
      <c r="G1662" t="s">
        <v>4963</v>
      </c>
      <c r="H1662" t="s">
        <v>4964</v>
      </c>
      <c r="I1662" t="s">
        <v>4965</v>
      </c>
    </row>
    <row r="1663" spans="3:9" x14ac:dyDescent="0.55000000000000004">
      <c r="C1663" s="7"/>
      <c r="E1663" t="s">
        <v>4966</v>
      </c>
      <c r="F1663">
        <v>0</v>
      </c>
      <c r="G1663" t="s">
        <v>4967</v>
      </c>
      <c r="H1663" t="s">
        <v>4968</v>
      </c>
      <c r="I1663" t="s">
        <v>4969</v>
      </c>
    </row>
    <row r="1664" spans="3:9" x14ac:dyDescent="0.55000000000000004">
      <c r="C1664" s="7"/>
      <c r="E1664" t="s">
        <v>4970</v>
      </c>
      <c r="F1664">
        <v>0</v>
      </c>
      <c r="G1664" t="s">
        <v>4971</v>
      </c>
      <c r="H1664" t="s">
        <v>4972</v>
      </c>
      <c r="I1664" t="s">
        <v>4973</v>
      </c>
    </row>
    <row r="1665" spans="3:9" x14ac:dyDescent="0.55000000000000004">
      <c r="C1665" s="7"/>
      <c r="E1665" t="s">
        <v>4974</v>
      </c>
      <c r="F1665">
        <v>0</v>
      </c>
      <c r="G1665" t="s">
        <v>4975</v>
      </c>
      <c r="H1665" t="s">
        <v>4976</v>
      </c>
      <c r="I1665" t="s">
        <v>4977</v>
      </c>
    </row>
    <row r="1666" spans="3:9" x14ac:dyDescent="0.55000000000000004">
      <c r="C1666" s="7"/>
      <c r="E1666" t="s">
        <v>4978</v>
      </c>
      <c r="F1666">
        <v>0</v>
      </c>
      <c r="G1666" t="s">
        <v>4979</v>
      </c>
      <c r="H1666" t="s">
        <v>4980</v>
      </c>
      <c r="I1666" t="s">
        <v>4981</v>
      </c>
    </row>
    <row r="1667" spans="3:9" x14ac:dyDescent="0.55000000000000004">
      <c r="C1667" s="7"/>
      <c r="E1667" t="s">
        <v>4982</v>
      </c>
      <c r="F1667">
        <v>0</v>
      </c>
      <c r="G1667" t="s">
        <v>4983</v>
      </c>
      <c r="H1667" t="s">
        <v>4984</v>
      </c>
      <c r="I1667" t="s">
        <v>4985</v>
      </c>
    </row>
    <row r="1668" spans="3:9" x14ac:dyDescent="0.55000000000000004">
      <c r="C1668" s="7"/>
      <c r="E1668" t="s">
        <v>4986</v>
      </c>
      <c r="F1668">
        <v>0</v>
      </c>
      <c r="G1668" t="s">
        <v>4987</v>
      </c>
      <c r="H1668" t="s">
        <v>4988</v>
      </c>
      <c r="I1668" t="s">
        <v>4989</v>
      </c>
    </row>
    <row r="1669" spans="3:9" x14ac:dyDescent="0.55000000000000004">
      <c r="C1669" s="7"/>
      <c r="E1669" t="s">
        <v>4990</v>
      </c>
      <c r="F1669">
        <v>0</v>
      </c>
      <c r="G1669" t="s">
        <v>4991</v>
      </c>
      <c r="H1669" t="s">
        <v>4992</v>
      </c>
      <c r="I1669" t="s">
        <v>4993</v>
      </c>
    </row>
    <row r="1670" spans="3:9" x14ac:dyDescent="0.55000000000000004">
      <c r="C1670" s="7"/>
      <c r="E1670" t="s">
        <v>4994</v>
      </c>
      <c r="F1670">
        <v>0</v>
      </c>
      <c r="G1670" t="s">
        <v>4995</v>
      </c>
      <c r="H1670" t="s">
        <v>4996</v>
      </c>
      <c r="I1670" t="s">
        <v>4997</v>
      </c>
    </row>
    <row r="1671" spans="3:9" x14ac:dyDescent="0.55000000000000004">
      <c r="C1671" s="7"/>
      <c r="E1671" t="s">
        <v>4998</v>
      </c>
      <c r="F1671">
        <v>0</v>
      </c>
      <c r="G1671" t="s">
        <v>4999</v>
      </c>
      <c r="H1671" t="s">
        <v>5000</v>
      </c>
      <c r="I1671" t="s">
        <v>5001</v>
      </c>
    </row>
    <row r="1672" spans="3:9" x14ac:dyDescent="0.55000000000000004">
      <c r="C1672" s="7"/>
      <c r="E1672" t="s">
        <v>5002</v>
      </c>
      <c r="F1672">
        <v>0</v>
      </c>
      <c r="G1672" t="s">
        <v>5003</v>
      </c>
      <c r="H1672" t="s">
        <v>5004</v>
      </c>
      <c r="I1672" t="s">
        <v>5005</v>
      </c>
    </row>
    <row r="1673" spans="3:9" x14ac:dyDescent="0.55000000000000004">
      <c r="C1673" s="7"/>
      <c r="E1673" t="s">
        <v>5006</v>
      </c>
      <c r="F1673">
        <v>0</v>
      </c>
      <c r="G1673" t="s">
        <v>5007</v>
      </c>
      <c r="H1673" t="s">
        <v>5008</v>
      </c>
      <c r="I1673" t="s">
        <v>5009</v>
      </c>
    </row>
    <row r="1674" spans="3:9" x14ac:dyDescent="0.55000000000000004">
      <c r="C1674" s="7"/>
      <c r="E1674" t="s">
        <v>5010</v>
      </c>
      <c r="F1674">
        <v>0</v>
      </c>
      <c r="G1674" t="s">
        <v>5011</v>
      </c>
      <c r="H1674" t="s">
        <v>5012</v>
      </c>
      <c r="I1674" t="s">
        <v>5013</v>
      </c>
    </row>
    <row r="1675" spans="3:9" x14ac:dyDescent="0.55000000000000004">
      <c r="C1675" s="7"/>
      <c r="E1675" t="s">
        <v>5014</v>
      </c>
      <c r="F1675">
        <v>0</v>
      </c>
      <c r="G1675" t="s">
        <v>5015</v>
      </c>
      <c r="H1675" t="s">
        <v>5016</v>
      </c>
      <c r="I1675" t="s">
        <v>5017</v>
      </c>
    </row>
    <row r="1676" spans="3:9" x14ac:dyDescent="0.55000000000000004">
      <c r="C1676" s="7"/>
      <c r="E1676" t="s">
        <v>5018</v>
      </c>
      <c r="F1676">
        <v>0</v>
      </c>
      <c r="G1676" t="s">
        <v>5019</v>
      </c>
      <c r="H1676" t="s">
        <v>5020</v>
      </c>
      <c r="I1676" t="s">
        <v>5021</v>
      </c>
    </row>
    <row r="1677" spans="3:9" x14ac:dyDescent="0.55000000000000004">
      <c r="C1677" s="7"/>
      <c r="E1677" t="s">
        <v>5022</v>
      </c>
      <c r="F1677">
        <v>0</v>
      </c>
      <c r="G1677" t="s">
        <v>5023</v>
      </c>
      <c r="H1677" t="s">
        <v>5024</v>
      </c>
      <c r="I1677" t="s">
        <v>5025</v>
      </c>
    </row>
    <row r="1678" spans="3:9" x14ac:dyDescent="0.55000000000000004">
      <c r="C1678" s="7"/>
      <c r="E1678" t="s">
        <v>5026</v>
      </c>
      <c r="F1678">
        <v>0</v>
      </c>
      <c r="G1678" t="s">
        <v>5027</v>
      </c>
      <c r="H1678" t="s">
        <v>5028</v>
      </c>
      <c r="I1678" t="s">
        <v>5029</v>
      </c>
    </row>
    <row r="1679" spans="3:9" x14ac:dyDescent="0.55000000000000004">
      <c r="C1679" s="7"/>
      <c r="E1679" t="s">
        <v>5030</v>
      </c>
      <c r="F1679">
        <v>0</v>
      </c>
      <c r="G1679" t="s">
        <v>5031</v>
      </c>
      <c r="H1679" t="s">
        <v>5032</v>
      </c>
      <c r="I1679" t="s">
        <v>5033</v>
      </c>
    </row>
    <row r="1680" spans="3:9" x14ac:dyDescent="0.55000000000000004">
      <c r="C1680" s="7"/>
      <c r="E1680" t="s">
        <v>5034</v>
      </c>
      <c r="F1680">
        <v>0</v>
      </c>
      <c r="G1680" t="s">
        <v>5035</v>
      </c>
      <c r="H1680" t="s">
        <v>5036</v>
      </c>
      <c r="I1680" t="s">
        <v>5037</v>
      </c>
    </row>
    <row r="1681" spans="3:9" x14ac:dyDescent="0.55000000000000004">
      <c r="C1681" s="7"/>
      <c r="E1681" t="s">
        <v>5038</v>
      </c>
      <c r="F1681">
        <v>0</v>
      </c>
      <c r="G1681" t="s">
        <v>5039</v>
      </c>
      <c r="H1681" t="s">
        <v>5040</v>
      </c>
      <c r="I1681" t="s">
        <v>5041</v>
      </c>
    </row>
    <row r="1682" spans="3:9" x14ac:dyDescent="0.55000000000000004">
      <c r="C1682" s="7"/>
      <c r="E1682" t="s">
        <v>5042</v>
      </c>
      <c r="F1682">
        <v>0</v>
      </c>
      <c r="G1682" t="s">
        <v>1651</v>
      </c>
      <c r="H1682" t="s">
        <v>5043</v>
      </c>
      <c r="I1682" t="s">
        <v>5044</v>
      </c>
    </row>
    <row r="1683" spans="3:9" x14ac:dyDescent="0.55000000000000004">
      <c r="C1683" s="7"/>
      <c r="E1683" t="s">
        <v>5045</v>
      </c>
      <c r="F1683">
        <v>0</v>
      </c>
      <c r="G1683" t="s">
        <v>5046</v>
      </c>
      <c r="H1683" t="s">
        <v>5047</v>
      </c>
      <c r="I1683" t="s">
        <v>5048</v>
      </c>
    </row>
    <row r="1684" spans="3:9" x14ac:dyDescent="0.55000000000000004">
      <c r="C1684" s="7"/>
      <c r="E1684" t="s">
        <v>5049</v>
      </c>
      <c r="F1684">
        <v>0</v>
      </c>
      <c r="G1684" t="s">
        <v>5050</v>
      </c>
      <c r="H1684" t="s">
        <v>5051</v>
      </c>
      <c r="I1684" t="s">
        <v>5052</v>
      </c>
    </row>
    <row r="1685" spans="3:9" x14ac:dyDescent="0.55000000000000004">
      <c r="C1685" s="7"/>
      <c r="E1685" t="s">
        <v>5053</v>
      </c>
      <c r="F1685">
        <v>0</v>
      </c>
      <c r="G1685" t="s">
        <v>5054</v>
      </c>
      <c r="H1685" t="s">
        <v>5055</v>
      </c>
      <c r="I1685" t="s">
        <v>5056</v>
      </c>
    </row>
    <row r="1686" spans="3:9" x14ac:dyDescent="0.55000000000000004">
      <c r="C1686" s="7"/>
      <c r="E1686" t="s">
        <v>5057</v>
      </c>
      <c r="F1686">
        <v>0</v>
      </c>
      <c r="G1686" t="s">
        <v>5058</v>
      </c>
      <c r="H1686" t="s">
        <v>5059</v>
      </c>
      <c r="I1686" t="s">
        <v>5060</v>
      </c>
    </row>
    <row r="1687" spans="3:9" x14ac:dyDescent="0.55000000000000004">
      <c r="C1687" s="7"/>
      <c r="E1687" t="s">
        <v>5061</v>
      </c>
      <c r="F1687">
        <v>0</v>
      </c>
      <c r="G1687" t="s">
        <v>5062</v>
      </c>
      <c r="H1687" t="s">
        <v>5063</v>
      </c>
      <c r="I1687" t="s">
        <v>5064</v>
      </c>
    </row>
    <row r="1688" spans="3:9" x14ac:dyDescent="0.55000000000000004">
      <c r="C1688" s="7"/>
      <c r="E1688" t="s">
        <v>5065</v>
      </c>
      <c r="F1688">
        <v>0</v>
      </c>
      <c r="G1688" t="s">
        <v>5066</v>
      </c>
      <c r="H1688" t="s">
        <v>5067</v>
      </c>
      <c r="I1688" t="s">
        <v>5068</v>
      </c>
    </row>
    <row r="1689" spans="3:9" x14ac:dyDescent="0.55000000000000004">
      <c r="C1689" s="7"/>
      <c r="E1689" t="s">
        <v>5069</v>
      </c>
      <c r="F1689">
        <v>0</v>
      </c>
      <c r="G1689" t="s">
        <v>5070</v>
      </c>
      <c r="H1689" t="s">
        <v>5071</v>
      </c>
      <c r="I1689" t="s">
        <v>5072</v>
      </c>
    </row>
    <row r="1690" spans="3:9" x14ac:dyDescent="0.55000000000000004">
      <c r="C1690" s="7"/>
      <c r="E1690" t="s">
        <v>5073</v>
      </c>
      <c r="F1690">
        <v>0</v>
      </c>
      <c r="G1690" t="s">
        <v>5074</v>
      </c>
      <c r="H1690" t="s">
        <v>5075</v>
      </c>
      <c r="I1690" t="s">
        <v>5076</v>
      </c>
    </row>
    <row r="1691" spans="3:9" x14ac:dyDescent="0.55000000000000004">
      <c r="C1691" s="7"/>
      <c r="E1691" t="s">
        <v>5077</v>
      </c>
      <c r="F1691">
        <v>0</v>
      </c>
      <c r="G1691" t="s">
        <v>1349</v>
      </c>
      <c r="H1691" t="s">
        <v>5078</v>
      </c>
      <c r="I1691" t="s">
        <v>5079</v>
      </c>
    </row>
    <row r="1692" spans="3:9" x14ac:dyDescent="0.55000000000000004">
      <c r="C1692" s="7"/>
      <c r="E1692" t="s">
        <v>5080</v>
      </c>
      <c r="F1692">
        <v>0</v>
      </c>
      <c r="G1692" t="s">
        <v>5081</v>
      </c>
      <c r="H1692" t="s">
        <v>5082</v>
      </c>
      <c r="I1692" t="s">
        <v>5083</v>
      </c>
    </row>
    <row r="1693" spans="3:9" x14ac:dyDescent="0.55000000000000004">
      <c r="C1693" s="7"/>
      <c r="E1693" t="s">
        <v>5084</v>
      </c>
      <c r="F1693">
        <v>0</v>
      </c>
      <c r="G1693" t="s">
        <v>5085</v>
      </c>
      <c r="H1693" t="s">
        <v>5086</v>
      </c>
      <c r="I1693" t="s">
        <v>5087</v>
      </c>
    </row>
    <row r="1694" spans="3:9" x14ac:dyDescent="0.55000000000000004">
      <c r="C1694" s="7"/>
      <c r="E1694" t="s">
        <v>5088</v>
      </c>
      <c r="F1694">
        <v>0</v>
      </c>
      <c r="G1694" t="s">
        <v>1523</v>
      </c>
      <c r="H1694" t="s">
        <v>5089</v>
      </c>
      <c r="I1694" t="s">
        <v>5090</v>
      </c>
    </row>
    <row r="1695" spans="3:9" x14ac:dyDescent="0.55000000000000004">
      <c r="C1695" s="7"/>
      <c r="E1695" t="s">
        <v>5091</v>
      </c>
      <c r="F1695">
        <v>0</v>
      </c>
      <c r="G1695" t="s">
        <v>1731</v>
      </c>
      <c r="H1695" t="s">
        <v>5092</v>
      </c>
      <c r="I1695" t="s">
        <v>5093</v>
      </c>
    </row>
    <row r="1696" spans="3:9" x14ac:dyDescent="0.55000000000000004">
      <c r="C1696" s="7"/>
      <c r="E1696" t="s">
        <v>5094</v>
      </c>
      <c r="F1696">
        <v>0</v>
      </c>
      <c r="G1696" t="s">
        <v>5095</v>
      </c>
      <c r="H1696" t="s">
        <v>5096</v>
      </c>
      <c r="I1696" t="s">
        <v>5097</v>
      </c>
    </row>
    <row r="1697" spans="3:9" x14ac:dyDescent="0.55000000000000004">
      <c r="C1697" s="7"/>
      <c r="E1697" t="s">
        <v>5098</v>
      </c>
      <c r="F1697">
        <v>0</v>
      </c>
      <c r="G1697" t="s">
        <v>5099</v>
      </c>
      <c r="H1697" t="s">
        <v>5100</v>
      </c>
      <c r="I1697" t="s">
        <v>5101</v>
      </c>
    </row>
    <row r="1698" spans="3:9" x14ac:dyDescent="0.55000000000000004">
      <c r="C1698" s="7"/>
      <c r="E1698" t="s">
        <v>5102</v>
      </c>
      <c r="F1698">
        <v>0</v>
      </c>
      <c r="G1698" t="s">
        <v>5103</v>
      </c>
      <c r="H1698" t="s">
        <v>5104</v>
      </c>
      <c r="I1698" t="s">
        <v>5105</v>
      </c>
    </row>
    <row r="1699" spans="3:9" x14ac:dyDescent="0.55000000000000004">
      <c r="C1699" s="7"/>
      <c r="E1699" t="s">
        <v>5106</v>
      </c>
      <c r="F1699">
        <v>0</v>
      </c>
      <c r="G1699" t="s">
        <v>5107</v>
      </c>
      <c r="H1699" t="s">
        <v>5108</v>
      </c>
      <c r="I1699" t="s">
        <v>5109</v>
      </c>
    </row>
    <row r="1700" spans="3:9" x14ac:dyDescent="0.55000000000000004">
      <c r="C1700" s="7"/>
      <c r="E1700" t="s">
        <v>5110</v>
      </c>
      <c r="F1700">
        <v>0</v>
      </c>
      <c r="G1700" t="s">
        <v>5111</v>
      </c>
      <c r="H1700" t="s">
        <v>5112</v>
      </c>
      <c r="I1700" t="s">
        <v>5113</v>
      </c>
    </row>
    <row r="1701" spans="3:9" x14ac:dyDescent="0.55000000000000004">
      <c r="C1701" s="7"/>
      <c r="E1701" t="s">
        <v>5114</v>
      </c>
      <c r="F1701">
        <v>0</v>
      </c>
      <c r="G1701" t="s">
        <v>5115</v>
      </c>
      <c r="H1701" t="s">
        <v>5116</v>
      </c>
      <c r="I1701" t="s">
        <v>5117</v>
      </c>
    </row>
    <row r="1702" spans="3:9" x14ac:dyDescent="0.55000000000000004">
      <c r="C1702" s="7"/>
      <c r="E1702" t="s">
        <v>5118</v>
      </c>
      <c r="F1702">
        <v>0</v>
      </c>
      <c r="G1702" t="s">
        <v>5119</v>
      </c>
      <c r="H1702" t="s">
        <v>5120</v>
      </c>
      <c r="I1702" t="s">
        <v>5121</v>
      </c>
    </row>
    <row r="1703" spans="3:9" x14ac:dyDescent="0.55000000000000004">
      <c r="C1703" s="7"/>
      <c r="E1703" t="s">
        <v>5123</v>
      </c>
      <c r="F1703">
        <v>0</v>
      </c>
      <c r="G1703" t="s">
        <v>5124</v>
      </c>
      <c r="H1703" t="s">
        <v>5125</v>
      </c>
      <c r="I1703" t="s">
        <v>5126</v>
      </c>
    </row>
    <row r="1704" spans="3:9" x14ac:dyDescent="0.55000000000000004">
      <c r="C1704" s="7"/>
      <c r="E1704" t="s">
        <v>5127</v>
      </c>
      <c r="F1704">
        <v>0</v>
      </c>
      <c r="G1704" t="s">
        <v>5128</v>
      </c>
      <c r="H1704" t="s">
        <v>5129</v>
      </c>
      <c r="I1704" t="s">
        <v>5130</v>
      </c>
    </row>
    <row r="1705" spans="3:9" x14ac:dyDescent="0.55000000000000004">
      <c r="C1705" s="7"/>
      <c r="E1705" t="s">
        <v>5131</v>
      </c>
      <c r="F1705">
        <v>0</v>
      </c>
      <c r="G1705" t="s">
        <v>5132</v>
      </c>
      <c r="H1705" t="s">
        <v>5133</v>
      </c>
      <c r="I1705" t="s">
        <v>5134</v>
      </c>
    </row>
    <row r="1706" spans="3:9" x14ac:dyDescent="0.55000000000000004">
      <c r="C1706" s="7"/>
      <c r="E1706" t="s">
        <v>5135</v>
      </c>
      <c r="F1706">
        <v>0</v>
      </c>
      <c r="G1706" t="s">
        <v>5122</v>
      </c>
      <c r="H1706" t="s">
        <v>5136</v>
      </c>
      <c r="I1706" t="s">
        <v>5137</v>
      </c>
    </row>
    <row r="1707" spans="3:9" x14ac:dyDescent="0.55000000000000004">
      <c r="C1707" s="7"/>
      <c r="E1707" t="s">
        <v>5138</v>
      </c>
      <c r="F1707">
        <v>0</v>
      </c>
      <c r="G1707" t="s">
        <v>5139</v>
      </c>
      <c r="H1707" t="s">
        <v>5140</v>
      </c>
      <c r="I1707" t="s">
        <v>5141</v>
      </c>
    </row>
    <row r="1708" spans="3:9" x14ac:dyDescent="0.55000000000000004">
      <c r="C1708" s="7"/>
      <c r="E1708" t="s">
        <v>5142</v>
      </c>
      <c r="F1708">
        <v>0</v>
      </c>
      <c r="G1708" t="s">
        <v>5143</v>
      </c>
      <c r="H1708" t="s">
        <v>5144</v>
      </c>
      <c r="I1708" t="s">
        <v>5145</v>
      </c>
    </row>
    <row r="1709" spans="3:9" x14ac:dyDescent="0.55000000000000004">
      <c r="C1709" s="7"/>
      <c r="E1709" t="s">
        <v>5146</v>
      </c>
      <c r="F1709">
        <v>0</v>
      </c>
      <c r="G1709" t="s">
        <v>5147</v>
      </c>
      <c r="H1709" t="s">
        <v>5148</v>
      </c>
      <c r="I1709" t="s">
        <v>5149</v>
      </c>
    </row>
    <row r="1710" spans="3:9" x14ac:dyDescent="0.55000000000000004">
      <c r="C1710" s="7"/>
      <c r="E1710" t="s">
        <v>5150</v>
      </c>
      <c r="F1710">
        <v>0</v>
      </c>
      <c r="G1710" t="s">
        <v>5151</v>
      </c>
      <c r="H1710" t="s">
        <v>5152</v>
      </c>
      <c r="I1710" t="s">
        <v>5153</v>
      </c>
    </row>
    <row r="1711" spans="3:9" x14ac:dyDescent="0.55000000000000004">
      <c r="C1711" s="7"/>
      <c r="E1711" t="s">
        <v>5155</v>
      </c>
      <c r="F1711">
        <v>0</v>
      </c>
      <c r="G1711" t="s">
        <v>5156</v>
      </c>
      <c r="H1711" t="s">
        <v>5157</v>
      </c>
      <c r="I1711" t="s">
        <v>5158</v>
      </c>
    </row>
    <row r="1712" spans="3:9" x14ac:dyDescent="0.55000000000000004">
      <c r="C1712" s="7"/>
      <c r="E1712" t="s">
        <v>5159</v>
      </c>
      <c r="F1712">
        <v>0</v>
      </c>
      <c r="G1712" t="s">
        <v>5160</v>
      </c>
      <c r="H1712" t="s">
        <v>5161</v>
      </c>
      <c r="I1712" t="s">
        <v>5162</v>
      </c>
    </row>
    <row r="1713" spans="3:9" x14ac:dyDescent="0.55000000000000004">
      <c r="C1713" s="7"/>
      <c r="E1713" t="s">
        <v>5163</v>
      </c>
      <c r="F1713">
        <v>0</v>
      </c>
      <c r="G1713" t="s">
        <v>5164</v>
      </c>
      <c r="H1713" t="s">
        <v>5165</v>
      </c>
      <c r="I1713" t="s">
        <v>5166</v>
      </c>
    </row>
    <row r="1714" spans="3:9" x14ac:dyDescent="0.55000000000000004">
      <c r="C1714" s="7"/>
      <c r="E1714" t="s">
        <v>5167</v>
      </c>
      <c r="F1714">
        <v>0</v>
      </c>
      <c r="G1714" t="s">
        <v>5168</v>
      </c>
      <c r="H1714" t="s">
        <v>5169</v>
      </c>
      <c r="I1714" t="s">
        <v>5170</v>
      </c>
    </row>
    <row r="1715" spans="3:9" x14ac:dyDescent="0.55000000000000004">
      <c r="C1715" s="7"/>
      <c r="E1715" t="s">
        <v>5171</v>
      </c>
      <c r="F1715">
        <v>0</v>
      </c>
      <c r="G1715" t="s">
        <v>5172</v>
      </c>
      <c r="H1715" t="s">
        <v>5173</v>
      </c>
      <c r="I1715" t="s">
        <v>5174</v>
      </c>
    </row>
    <row r="1716" spans="3:9" x14ac:dyDescent="0.55000000000000004">
      <c r="C1716" s="7"/>
      <c r="E1716" t="s">
        <v>5175</v>
      </c>
      <c r="F1716">
        <v>0</v>
      </c>
      <c r="G1716" t="s">
        <v>5176</v>
      </c>
      <c r="H1716" t="s">
        <v>5177</v>
      </c>
      <c r="I1716" t="s">
        <v>5178</v>
      </c>
    </row>
    <row r="1717" spans="3:9" x14ac:dyDescent="0.55000000000000004">
      <c r="C1717" s="7"/>
      <c r="E1717" t="s">
        <v>5179</v>
      </c>
      <c r="F1717">
        <v>0</v>
      </c>
      <c r="G1717" t="s">
        <v>5154</v>
      </c>
      <c r="H1717" t="s">
        <v>5180</v>
      </c>
      <c r="I1717" t="s">
        <v>5181</v>
      </c>
    </row>
    <row r="1718" spans="3:9" x14ac:dyDescent="0.55000000000000004">
      <c r="C1718" s="7"/>
      <c r="E1718" t="s">
        <v>5182</v>
      </c>
      <c r="F1718">
        <v>0</v>
      </c>
      <c r="G1718" t="s">
        <v>5183</v>
      </c>
      <c r="H1718" t="s">
        <v>5184</v>
      </c>
      <c r="I1718" t="s">
        <v>5185</v>
      </c>
    </row>
    <row r="1719" spans="3:9" x14ac:dyDescent="0.55000000000000004">
      <c r="C1719" s="7"/>
      <c r="E1719" t="s">
        <v>5186</v>
      </c>
      <c r="F1719">
        <v>0</v>
      </c>
      <c r="G1719" t="s">
        <v>5187</v>
      </c>
      <c r="H1719" t="s">
        <v>5188</v>
      </c>
      <c r="I1719" t="s">
        <v>5189</v>
      </c>
    </row>
    <row r="1720" spans="3:9" x14ac:dyDescent="0.55000000000000004">
      <c r="C1720" s="7"/>
      <c r="E1720" t="s">
        <v>5190</v>
      </c>
      <c r="F1720">
        <v>0</v>
      </c>
      <c r="G1720" t="s">
        <v>5191</v>
      </c>
      <c r="H1720" t="s">
        <v>5192</v>
      </c>
      <c r="I1720" t="s">
        <v>5193</v>
      </c>
    </row>
    <row r="1721" spans="3:9" x14ac:dyDescent="0.55000000000000004">
      <c r="C1721" s="7"/>
      <c r="E1721" t="s">
        <v>5194</v>
      </c>
      <c r="F1721">
        <v>0</v>
      </c>
      <c r="G1721" t="s">
        <v>5195</v>
      </c>
      <c r="H1721" t="s">
        <v>5196</v>
      </c>
      <c r="I1721" t="s">
        <v>5197</v>
      </c>
    </row>
    <row r="1722" spans="3:9" x14ac:dyDescent="0.55000000000000004">
      <c r="C1722" s="7"/>
      <c r="E1722" t="s">
        <v>5198</v>
      </c>
      <c r="F1722">
        <v>0</v>
      </c>
      <c r="G1722" t="s">
        <v>5199</v>
      </c>
      <c r="H1722" t="s">
        <v>5200</v>
      </c>
      <c r="I1722" t="s">
        <v>5201</v>
      </c>
    </row>
    <row r="1723" spans="3:9" x14ac:dyDescent="0.55000000000000004">
      <c r="C1723" s="7"/>
      <c r="E1723" t="s">
        <v>5202</v>
      </c>
      <c r="F1723">
        <v>0</v>
      </c>
      <c r="G1723" t="s">
        <v>5203</v>
      </c>
      <c r="H1723" t="s">
        <v>5204</v>
      </c>
      <c r="I1723" t="s">
        <v>5205</v>
      </c>
    </row>
    <row r="1724" spans="3:9" x14ac:dyDescent="0.55000000000000004">
      <c r="C1724" s="7"/>
      <c r="E1724" t="s">
        <v>5206</v>
      </c>
      <c r="F1724">
        <v>0</v>
      </c>
      <c r="G1724" t="s">
        <v>5207</v>
      </c>
      <c r="H1724" t="s">
        <v>5208</v>
      </c>
      <c r="I1724" t="s">
        <v>5209</v>
      </c>
    </row>
    <row r="1725" spans="3:9" x14ac:dyDescent="0.55000000000000004">
      <c r="C1725" s="7"/>
      <c r="E1725" t="s">
        <v>5210</v>
      </c>
      <c r="F1725">
        <v>0</v>
      </c>
      <c r="G1725" t="s">
        <v>5211</v>
      </c>
      <c r="H1725" t="s">
        <v>5212</v>
      </c>
      <c r="I1725" t="s">
        <v>5213</v>
      </c>
    </row>
    <row r="1726" spans="3:9" x14ac:dyDescent="0.55000000000000004">
      <c r="C1726" s="7"/>
      <c r="E1726" t="s">
        <v>5214</v>
      </c>
      <c r="F1726">
        <v>0</v>
      </c>
      <c r="G1726" t="s">
        <v>5215</v>
      </c>
      <c r="H1726" t="s">
        <v>5216</v>
      </c>
      <c r="I1726" t="s">
        <v>5217</v>
      </c>
    </row>
    <row r="1727" spans="3:9" x14ac:dyDescent="0.55000000000000004">
      <c r="C1727" s="7"/>
      <c r="E1727" t="s">
        <v>5218</v>
      </c>
      <c r="F1727">
        <v>0</v>
      </c>
      <c r="G1727" t="s">
        <v>5219</v>
      </c>
      <c r="H1727" t="s">
        <v>5220</v>
      </c>
      <c r="I1727" t="s">
        <v>5221</v>
      </c>
    </row>
    <row r="1728" spans="3:9" x14ac:dyDescent="0.55000000000000004">
      <c r="C1728" s="7"/>
      <c r="E1728" t="s">
        <v>5222</v>
      </c>
      <c r="F1728">
        <v>0</v>
      </c>
      <c r="G1728" t="s">
        <v>5223</v>
      </c>
      <c r="H1728" t="s">
        <v>5224</v>
      </c>
      <c r="I1728" t="s">
        <v>5225</v>
      </c>
    </row>
    <row r="1729" spans="3:9" x14ac:dyDescent="0.55000000000000004">
      <c r="C1729" s="7"/>
      <c r="E1729" t="s">
        <v>5226</v>
      </c>
      <c r="F1729">
        <v>0</v>
      </c>
      <c r="G1729" t="s">
        <v>5227</v>
      </c>
      <c r="H1729" t="s">
        <v>5228</v>
      </c>
      <c r="I1729" t="s">
        <v>5229</v>
      </c>
    </row>
    <row r="1730" spans="3:9" x14ac:dyDescent="0.55000000000000004">
      <c r="C1730" s="7"/>
      <c r="E1730" t="s">
        <v>5230</v>
      </c>
      <c r="F1730">
        <v>0</v>
      </c>
      <c r="G1730" t="s">
        <v>5231</v>
      </c>
      <c r="H1730" t="s">
        <v>5232</v>
      </c>
      <c r="I1730" t="s">
        <v>5233</v>
      </c>
    </row>
    <row r="1731" spans="3:9" x14ac:dyDescent="0.55000000000000004">
      <c r="C1731" s="7"/>
      <c r="E1731" t="s">
        <v>5234</v>
      </c>
      <c r="F1731">
        <v>0</v>
      </c>
      <c r="G1731" t="s">
        <v>4425</v>
      </c>
      <c r="H1731" t="s">
        <v>5235</v>
      </c>
      <c r="I1731" t="s">
        <v>5236</v>
      </c>
    </row>
    <row r="1732" spans="3:9" x14ac:dyDescent="0.55000000000000004">
      <c r="C1732" s="7"/>
      <c r="E1732" t="s">
        <v>5237</v>
      </c>
      <c r="F1732">
        <v>0</v>
      </c>
      <c r="G1732" t="s">
        <v>5238</v>
      </c>
      <c r="H1732" t="s">
        <v>5239</v>
      </c>
      <c r="I1732" t="s">
        <v>5240</v>
      </c>
    </row>
    <row r="1733" spans="3:9" x14ac:dyDescent="0.55000000000000004">
      <c r="C1733" s="7"/>
      <c r="E1733" t="s">
        <v>5241</v>
      </c>
      <c r="F1733">
        <v>0</v>
      </c>
      <c r="G1733" t="s">
        <v>5242</v>
      </c>
      <c r="H1733" t="s">
        <v>5243</v>
      </c>
      <c r="I1733" t="s">
        <v>5244</v>
      </c>
    </row>
    <row r="1734" spans="3:9" x14ac:dyDescent="0.55000000000000004">
      <c r="C1734" s="7"/>
      <c r="E1734" t="s">
        <v>5245</v>
      </c>
      <c r="F1734">
        <v>0</v>
      </c>
      <c r="G1734" t="s">
        <v>5246</v>
      </c>
      <c r="H1734" t="s">
        <v>5247</v>
      </c>
      <c r="I1734" t="s">
        <v>5248</v>
      </c>
    </row>
    <row r="1735" spans="3:9" x14ac:dyDescent="0.55000000000000004">
      <c r="C1735" s="7"/>
      <c r="E1735" t="s">
        <v>5249</v>
      </c>
      <c r="F1735">
        <v>0</v>
      </c>
      <c r="G1735" t="s">
        <v>5250</v>
      </c>
      <c r="H1735" t="s">
        <v>5251</v>
      </c>
      <c r="I1735" t="s">
        <v>5252</v>
      </c>
    </row>
    <row r="1736" spans="3:9" x14ac:dyDescent="0.55000000000000004">
      <c r="C1736" s="7"/>
      <c r="E1736" t="s">
        <v>5253</v>
      </c>
      <c r="F1736">
        <v>0</v>
      </c>
      <c r="G1736" t="s">
        <v>5254</v>
      </c>
      <c r="H1736" t="s">
        <v>5255</v>
      </c>
      <c r="I1736" t="s">
        <v>5256</v>
      </c>
    </row>
    <row r="1737" spans="3:9" x14ac:dyDescent="0.55000000000000004">
      <c r="C1737" s="7"/>
      <c r="E1737" t="s">
        <v>5257</v>
      </c>
      <c r="F1737">
        <v>0</v>
      </c>
      <c r="G1737" t="s">
        <v>5258</v>
      </c>
      <c r="H1737" t="s">
        <v>5259</v>
      </c>
      <c r="I1737" t="s">
        <v>5260</v>
      </c>
    </row>
    <row r="1738" spans="3:9" x14ac:dyDescent="0.55000000000000004">
      <c r="C1738" s="7"/>
      <c r="E1738" t="s">
        <v>5261</v>
      </c>
      <c r="F1738">
        <v>0</v>
      </c>
      <c r="G1738" t="s">
        <v>5262</v>
      </c>
      <c r="H1738" t="s">
        <v>5263</v>
      </c>
      <c r="I1738" t="s">
        <v>5264</v>
      </c>
    </row>
    <row r="1739" spans="3:9" x14ac:dyDescent="0.55000000000000004">
      <c r="C1739" s="7"/>
      <c r="E1739" t="s">
        <v>5265</v>
      </c>
      <c r="F1739">
        <v>0</v>
      </c>
      <c r="G1739" t="s">
        <v>920</v>
      </c>
      <c r="H1739" t="s">
        <v>5266</v>
      </c>
      <c r="I1739" t="s">
        <v>5267</v>
      </c>
    </row>
    <row r="1740" spans="3:9" x14ac:dyDescent="0.55000000000000004">
      <c r="C1740" s="7"/>
      <c r="E1740" t="s">
        <v>5268</v>
      </c>
      <c r="F1740">
        <v>0</v>
      </c>
      <c r="G1740" t="s">
        <v>5269</v>
      </c>
      <c r="H1740" t="s">
        <v>5270</v>
      </c>
      <c r="I1740" t="s">
        <v>5271</v>
      </c>
    </row>
    <row r="1741" spans="3:9" x14ac:dyDescent="0.55000000000000004">
      <c r="C1741" s="7"/>
      <c r="E1741" t="s">
        <v>5272</v>
      </c>
      <c r="F1741">
        <v>0</v>
      </c>
      <c r="G1741" t="s">
        <v>5273</v>
      </c>
      <c r="H1741" t="s">
        <v>5274</v>
      </c>
      <c r="I1741" t="s">
        <v>5275</v>
      </c>
    </row>
    <row r="1742" spans="3:9" x14ac:dyDescent="0.55000000000000004">
      <c r="C1742" s="7"/>
      <c r="E1742" t="s">
        <v>5276</v>
      </c>
      <c r="F1742">
        <v>0</v>
      </c>
      <c r="G1742" t="s">
        <v>5277</v>
      </c>
      <c r="H1742" t="s">
        <v>5278</v>
      </c>
      <c r="I1742" t="s">
        <v>5279</v>
      </c>
    </row>
    <row r="1743" spans="3:9" x14ac:dyDescent="0.55000000000000004">
      <c r="C1743" s="7"/>
      <c r="E1743" t="s">
        <v>5280</v>
      </c>
      <c r="F1743">
        <v>0</v>
      </c>
      <c r="G1743" t="s">
        <v>5281</v>
      </c>
      <c r="H1743" t="s">
        <v>5282</v>
      </c>
      <c r="I1743" t="s">
        <v>5283</v>
      </c>
    </row>
    <row r="1744" spans="3:9" x14ac:dyDescent="0.55000000000000004">
      <c r="C1744" s="7"/>
      <c r="E1744" t="s">
        <v>5284</v>
      </c>
      <c r="F1744">
        <v>0</v>
      </c>
      <c r="G1744" t="s">
        <v>5285</v>
      </c>
      <c r="H1744" t="s">
        <v>5286</v>
      </c>
      <c r="I1744" t="s">
        <v>5287</v>
      </c>
    </row>
    <row r="1745" spans="3:9" x14ac:dyDescent="0.55000000000000004">
      <c r="C1745" s="7"/>
      <c r="E1745" t="s">
        <v>5288</v>
      </c>
      <c r="F1745">
        <v>0</v>
      </c>
      <c r="G1745" t="s">
        <v>5289</v>
      </c>
      <c r="H1745" t="s">
        <v>5290</v>
      </c>
      <c r="I1745" t="s">
        <v>5291</v>
      </c>
    </row>
    <row r="1746" spans="3:9" x14ac:dyDescent="0.55000000000000004">
      <c r="C1746" s="7"/>
      <c r="E1746" t="s">
        <v>5292</v>
      </c>
      <c r="F1746">
        <v>0</v>
      </c>
      <c r="G1746" t="s">
        <v>5293</v>
      </c>
      <c r="H1746" t="s">
        <v>5294</v>
      </c>
      <c r="I1746" t="s">
        <v>5295</v>
      </c>
    </row>
    <row r="1747" spans="3:9" x14ac:dyDescent="0.55000000000000004">
      <c r="C1747" s="7"/>
      <c r="E1747" t="s">
        <v>5296</v>
      </c>
      <c r="F1747">
        <v>0</v>
      </c>
      <c r="G1747" t="s">
        <v>5297</v>
      </c>
      <c r="H1747" t="s">
        <v>5298</v>
      </c>
      <c r="I1747" t="s">
        <v>5299</v>
      </c>
    </row>
    <row r="1748" spans="3:9" x14ac:dyDescent="0.55000000000000004">
      <c r="C1748" s="7"/>
      <c r="E1748" t="s">
        <v>5300</v>
      </c>
      <c r="F1748">
        <v>0</v>
      </c>
      <c r="G1748" t="s">
        <v>5301</v>
      </c>
      <c r="H1748" t="s">
        <v>5302</v>
      </c>
      <c r="I1748" t="s">
        <v>5303</v>
      </c>
    </row>
    <row r="1749" spans="3:9" x14ac:dyDescent="0.55000000000000004">
      <c r="C1749" s="7"/>
      <c r="E1749" t="s">
        <v>5304</v>
      </c>
      <c r="F1749">
        <v>0</v>
      </c>
      <c r="G1749" t="s">
        <v>5305</v>
      </c>
      <c r="H1749" t="s">
        <v>5306</v>
      </c>
      <c r="I1749" t="s">
        <v>5307</v>
      </c>
    </row>
    <row r="1750" spans="3:9" x14ac:dyDescent="0.55000000000000004">
      <c r="C1750" s="7"/>
      <c r="E1750" t="s">
        <v>5308</v>
      </c>
      <c r="F1750">
        <v>0</v>
      </c>
      <c r="G1750" t="s">
        <v>5309</v>
      </c>
      <c r="H1750" t="s">
        <v>5310</v>
      </c>
      <c r="I1750" t="s">
        <v>5311</v>
      </c>
    </row>
    <row r="1751" spans="3:9" x14ac:dyDescent="0.55000000000000004">
      <c r="C1751" s="7"/>
      <c r="E1751" t="s">
        <v>5312</v>
      </c>
      <c r="F1751">
        <v>0</v>
      </c>
      <c r="G1751" t="s">
        <v>5313</v>
      </c>
      <c r="H1751" t="s">
        <v>5314</v>
      </c>
      <c r="I1751" t="s">
        <v>5315</v>
      </c>
    </row>
    <row r="1752" spans="3:9" x14ac:dyDescent="0.55000000000000004">
      <c r="C1752" s="7"/>
      <c r="E1752" t="s">
        <v>5316</v>
      </c>
      <c r="F1752">
        <v>0</v>
      </c>
      <c r="G1752" t="s">
        <v>5317</v>
      </c>
      <c r="H1752" t="s">
        <v>5318</v>
      </c>
      <c r="I1752" t="s">
        <v>5319</v>
      </c>
    </row>
    <row r="1753" spans="3:9" x14ac:dyDescent="0.55000000000000004">
      <c r="C1753" s="7"/>
      <c r="E1753" t="s">
        <v>5320</v>
      </c>
      <c r="F1753">
        <v>0</v>
      </c>
      <c r="G1753" t="s">
        <v>5321</v>
      </c>
      <c r="H1753" t="s">
        <v>5322</v>
      </c>
      <c r="I1753" t="s">
        <v>5323</v>
      </c>
    </row>
    <row r="1754" spans="3:9" x14ac:dyDescent="0.55000000000000004">
      <c r="C1754" s="7"/>
      <c r="E1754" t="s">
        <v>5324</v>
      </c>
      <c r="F1754">
        <v>0</v>
      </c>
      <c r="G1754" t="s">
        <v>5325</v>
      </c>
      <c r="H1754" t="s">
        <v>5326</v>
      </c>
      <c r="I1754" t="s">
        <v>5327</v>
      </c>
    </row>
    <row r="1755" spans="3:9" x14ac:dyDescent="0.55000000000000004">
      <c r="C1755" s="7"/>
      <c r="E1755" t="s">
        <v>5328</v>
      </c>
      <c r="F1755">
        <v>0</v>
      </c>
      <c r="G1755" t="s">
        <v>5329</v>
      </c>
      <c r="H1755" t="s">
        <v>5330</v>
      </c>
      <c r="I1755" t="s">
        <v>5331</v>
      </c>
    </row>
    <row r="1756" spans="3:9" x14ac:dyDescent="0.55000000000000004">
      <c r="C1756" s="7"/>
      <c r="E1756" t="s">
        <v>5332</v>
      </c>
      <c r="F1756">
        <v>0</v>
      </c>
      <c r="G1756" t="s">
        <v>5333</v>
      </c>
      <c r="H1756" t="s">
        <v>5334</v>
      </c>
      <c r="I1756" t="s">
        <v>5335</v>
      </c>
    </row>
    <row r="1757" spans="3:9" x14ac:dyDescent="0.55000000000000004">
      <c r="C1757" s="7"/>
      <c r="E1757" t="s">
        <v>5336</v>
      </c>
      <c r="F1757">
        <v>0</v>
      </c>
      <c r="G1757" t="s">
        <v>5337</v>
      </c>
      <c r="H1757" t="s">
        <v>5338</v>
      </c>
      <c r="I1757" t="s">
        <v>5339</v>
      </c>
    </row>
    <row r="1758" spans="3:9" x14ac:dyDescent="0.55000000000000004">
      <c r="C1758" s="7"/>
      <c r="E1758" t="s">
        <v>5340</v>
      </c>
      <c r="F1758">
        <v>0</v>
      </c>
      <c r="G1758" t="s">
        <v>5341</v>
      </c>
      <c r="H1758" t="s">
        <v>5342</v>
      </c>
      <c r="I1758" t="s">
        <v>5343</v>
      </c>
    </row>
    <row r="1759" spans="3:9" x14ac:dyDescent="0.55000000000000004">
      <c r="C1759" s="7"/>
      <c r="E1759" t="s">
        <v>5344</v>
      </c>
      <c r="F1759">
        <v>0</v>
      </c>
      <c r="G1759" t="s">
        <v>5345</v>
      </c>
      <c r="H1759" t="s">
        <v>5346</v>
      </c>
      <c r="I1759" t="s">
        <v>5347</v>
      </c>
    </row>
    <row r="1760" spans="3:9" x14ac:dyDescent="0.55000000000000004">
      <c r="C1760" s="7"/>
      <c r="E1760" t="s">
        <v>5348</v>
      </c>
      <c r="F1760">
        <v>0</v>
      </c>
      <c r="G1760" t="s">
        <v>5349</v>
      </c>
      <c r="H1760" t="s">
        <v>5350</v>
      </c>
      <c r="I1760" t="s">
        <v>5351</v>
      </c>
    </row>
    <row r="1761" spans="3:9" x14ac:dyDescent="0.55000000000000004">
      <c r="C1761" s="7"/>
      <c r="E1761" t="s">
        <v>5352</v>
      </c>
      <c r="F1761">
        <v>0</v>
      </c>
      <c r="G1761" t="s">
        <v>5353</v>
      </c>
      <c r="H1761" t="s">
        <v>5354</v>
      </c>
      <c r="I1761" t="s">
        <v>5355</v>
      </c>
    </row>
    <row r="1762" spans="3:9" x14ac:dyDescent="0.55000000000000004">
      <c r="C1762" s="7"/>
      <c r="E1762" t="s">
        <v>5356</v>
      </c>
      <c r="F1762">
        <v>0</v>
      </c>
      <c r="G1762" t="s">
        <v>5357</v>
      </c>
      <c r="H1762" t="s">
        <v>5358</v>
      </c>
      <c r="I1762" t="s">
        <v>5359</v>
      </c>
    </row>
    <row r="1763" spans="3:9" x14ac:dyDescent="0.55000000000000004">
      <c r="C1763" s="7"/>
      <c r="E1763" t="s">
        <v>5360</v>
      </c>
      <c r="F1763">
        <v>0</v>
      </c>
      <c r="G1763" t="s">
        <v>5361</v>
      </c>
      <c r="H1763" t="s">
        <v>5362</v>
      </c>
      <c r="I1763" t="s">
        <v>5363</v>
      </c>
    </row>
    <row r="1764" spans="3:9" x14ac:dyDescent="0.55000000000000004">
      <c r="C1764" s="7"/>
      <c r="E1764" t="s">
        <v>5364</v>
      </c>
      <c r="F1764">
        <v>0</v>
      </c>
      <c r="G1764" t="s">
        <v>5365</v>
      </c>
      <c r="H1764" t="s">
        <v>5366</v>
      </c>
      <c r="I1764" t="s">
        <v>5367</v>
      </c>
    </row>
    <row r="1765" spans="3:9" x14ac:dyDescent="0.55000000000000004">
      <c r="C1765" s="7"/>
      <c r="E1765" t="s">
        <v>5368</v>
      </c>
      <c r="F1765">
        <v>0</v>
      </c>
      <c r="G1765" t="s">
        <v>5369</v>
      </c>
      <c r="H1765" t="s">
        <v>5370</v>
      </c>
      <c r="I1765" t="s">
        <v>5371</v>
      </c>
    </row>
    <row r="1766" spans="3:9" x14ac:dyDescent="0.55000000000000004">
      <c r="C1766" s="7"/>
      <c r="E1766" t="s">
        <v>5372</v>
      </c>
      <c r="F1766">
        <v>0</v>
      </c>
      <c r="G1766" t="s">
        <v>5373</v>
      </c>
      <c r="H1766" t="s">
        <v>5374</v>
      </c>
      <c r="I1766" t="s">
        <v>5375</v>
      </c>
    </row>
    <row r="1767" spans="3:9" x14ac:dyDescent="0.55000000000000004">
      <c r="C1767" s="7"/>
      <c r="E1767" t="s">
        <v>5376</v>
      </c>
      <c r="F1767">
        <v>0</v>
      </c>
      <c r="G1767" t="s">
        <v>5377</v>
      </c>
      <c r="H1767" t="s">
        <v>5378</v>
      </c>
      <c r="I1767" t="s">
        <v>5379</v>
      </c>
    </row>
    <row r="1768" spans="3:9" x14ac:dyDescent="0.55000000000000004">
      <c r="C1768" s="7"/>
      <c r="E1768" t="s">
        <v>5380</v>
      </c>
      <c r="F1768">
        <v>0</v>
      </c>
      <c r="G1768" t="s">
        <v>5381</v>
      </c>
      <c r="H1768" t="s">
        <v>5382</v>
      </c>
      <c r="I1768" t="s">
        <v>5383</v>
      </c>
    </row>
    <row r="1769" spans="3:9" x14ac:dyDescent="0.55000000000000004">
      <c r="C1769" s="7"/>
      <c r="E1769" t="s">
        <v>5384</v>
      </c>
      <c r="F1769">
        <v>0</v>
      </c>
      <c r="G1769" t="s">
        <v>4318</v>
      </c>
      <c r="H1769" t="s">
        <v>5385</v>
      </c>
      <c r="I1769" t="s">
        <v>5386</v>
      </c>
    </row>
    <row r="1770" spans="3:9" x14ac:dyDescent="0.55000000000000004">
      <c r="C1770" s="7"/>
      <c r="E1770" t="s">
        <v>5387</v>
      </c>
      <c r="F1770">
        <v>0</v>
      </c>
      <c r="G1770" t="s">
        <v>5388</v>
      </c>
      <c r="H1770" t="s">
        <v>5389</v>
      </c>
      <c r="I1770" t="s">
        <v>5390</v>
      </c>
    </row>
    <row r="1771" spans="3:9" x14ac:dyDescent="0.55000000000000004">
      <c r="C1771" s="7"/>
      <c r="E1771" t="s">
        <v>5391</v>
      </c>
      <c r="F1771">
        <v>0</v>
      </c>
      <c r="G1771" t="s">
        <v>5392</v>
      </c>
      <c r="H1771" t="s">
        <v>5393</v>
      </c>
      <c r="I1771" t="s">
        <v>5394</v>
      </c>
    </row>
    <row r="1772" spans="3:9" x14ac:dyDescent="0.55000000000000004">
      <c r="C1772" s="7"/>
      <c r="E1772" t="s">
        <v>5395</v>
      </c>
      <c r="F1772">
        <v>0</v>
      </c>
      <c r="G1772" t="s">
        <v>5396</v>
      </c>
      <c r="H1772" t="s">
        <v>5397</v>
      </c>
      <c r="I1772" t="s">
        <v>5398</v>
      </c>
    </row>
    <row r="1773" spans="3:9" x14ac:dyDescent="0.55000000000000004">
      <c r="C1773" s="7"/>
      <c r="E1773" t="s">
        <v>5399</v>
      </c>
      <c r="F1773">
        <v>0</v>
      </c>
      <c r="G1773" t="s">
        <v>5400</v>
      </c>
      <c r="H1773" t="s">
        <v>5401</v>
      </c>
      <c r="I1773" t="s">
        <v>5402</v>
      </c>
    </row>
    <row r="1774" spans="3:9" x14ac:dyDescent="0.55000000000000004">
      <c r="C1774" s="7"/>
      <c r="E1774" t="s">
        <v>5403</v>
      </c>
      <c r="F1774">
        <v>0</v>
      </c>
      <c r="G1774" t="s">
        <v>5404</v>
      </c>
      <c r="H1774" t="s">
        <v>5405</v>
      </c>
      <c r="I1774" t="s">
        <v>5406</v>
      </c>
    </row>
    <row r="1775" spans="3:9" x14ac:dyDescent="0.55000000000000004">
      <c r="C1775" s="7"/>
      <c r="E1775" t="s">
        <v>5407</v>
      </c>
      <c r="F1775">
        <v>0</v>
      </c>
      <c r="G1775" t="s">
        <v>1257</v>
      </c>
      <c r="H1775" t="s">
        <v>5408</v>
      </c>
      <c r="I1775" t="s">
        <v>5409</v>
      </c>
    </row>
    <row r="1776" spans="3:9" x14ac:dyDescent="0.55000000000000004">
      <c r="C1776" s="7"/>
      <c r="E1776" t="s">
        <v>5410</v>
      </c>
      <c r="F1776">
        <v>0</v>
      </c>
      <c r="G1776" t="s">
        <v>5411</v>
      </c>
      <c r="H1776" t="s">
        <v>5412</v>
      </c>
      <c r="I1776" t="s">
        <v>5413</v>
      </c>
    </row>
    <row r="1777" spans="3:9" x14ac:dyDescent="0.55000000000000004">
      <c r="C1777" s="7"/>
      <c r="E1777" t="s">
        <v>5414</v>
      </c>
      <c r="F1777">
        <v>0</v>
      </c>
      <c r="G1777" t="s">
        <v>5415</v>
      </c>
      <c r="H1777" t="s">
        <v>5416</v>
      </c>
      <c r="I1777" t="s">
        <v>5417</v>
      </c>
    </row>
    <row r="1778" spans="3:9" x14ac:dyDescent="0.55000000000000004">
      <c r="C1778" s="7"/>
      <c r="E1778" t="s">
        <v>5418</v>
      </c>
      <c r="F1778">
        <v>0</v>
      </c>
      <c r="G1778" t="s">
        <v>5419</v>
      </c>
      <c r="H1778" t="s">
        <v>5420</v>
      </c>
      <c r="I1778" t="s">
        <v>5421</v>
      </c>
    </row>
    <row r="1779" spans="3:9" x14ac:dyDescent="0.55000000000000004">
      <c r="C1779" s="7"/>
      <c r="E1779" t="s">
        <v>5422</v>
      </c>
      <c r="F1779">
        <v>0</v>
      </c>
      <c r="G1779" t="s">
        <v>5423</v>
      </c>
      <c r="H1779" t="s">
        <v>5424</v>
      </c>
      <c r="I1779" t="s">
        <v>5425</v>
      </c>
    </row>
    <row r="1780" spans="3:9" x14ac:dyDescent="0.55000000000000004">
      <c r="C1780" s="7"/>
      <c r="E1780" t="s">
        <v>5426</v>
      </c>
      <c r="F1780">
        <v>0</v>
      </c>
      <c r="G1780" t="s">
        <v>5427</v>
      </c>
      <c r="H1780" t="s">
        <v>5428</v>
      </c>
      <c r="I1780" t="s">
        <v>5429</v>
      </c>
    </row>
    <row r="1781" spans="3:9" x14ac:dyDescent="0.55000000000000004">
      <c r="C1781" s="7"/>
      <c r="E1781" t="s">
        <v>5430</v>
      </c>
      <c r="F1781">
        <v>0</v>
      </c>
      <c r="G1781" t="s">
        <v>5431</v>
      </c>
      <c r="H1781" t="s">
        <v>5432</v>
      </c>
      <c r="I1781" t="s">
        <v>5433</v>
      </c>
    </row>
    <row r="1782" spans="3:9" x14ac:dyDescent="0.55000000000000004">
      <c r="C1782" s="7"/>
      <c r="E1782" t="s">
        <v>5434</v>
      </c>
      <c r="F1782">
        <v>0</v>
      </c>
      <c r="G1782" t="s">
        <v>5435</v>
      </c>
      <c r="H1782" t="s">
        <v>5436</v>
      </c>
      <c r="I1782" t="s">
        <v>5437</v>
      </c>
    </row>
    <row r="1783" spans="3:9" x14ac:dyDescent="0.55000000000000004">
      <c r="C1783" s="7"/>
      <c r="E1783" t="s">
        <v>5438</v>
      </c>
      <c r="F1783">
        <v>0</v>
      </c>
      <c r="G1783" t="s">
        <v>5439</v>
      </c>
      <c r="H1783" t="s">
        <v>5440</v>
      </c>
      <c r="I1783" t="s">
        <v>5441</v>
      </c>
    </row>
    <row r="1784" spans="3:9" x14ac:dyDescent="0.55000000000000004">
      <c r="C1784" s="7"/>
      <c r="E1784" t="s">
        <v>5442</v>
      </c>
      <c r="F1784">
        <v>0</v>
      </c>
      <c r="G1784" t="s">
        <v>5443</v>
      </c>
      <c r="H1784" t="s">
        <v>5444</v>
      </c>
      <c r="I1784" t="s">
        <v>5445</v>
      </c>
    </row>
    <row r="1785" spans="3:9" x14ac:dyDescent="0.55000000000000004">
      <c r="C1785" s="7"/>
      <c r="E1785" t="s">
        <v>5446</v>
      </c>
      <c r="F1785">
        <v>0</v>
      </c>
      <c r="G1785" t="s">
        <v>5447</v>
      </c>
      <c r="H1785" t="s">
        <v>5448</v>
      </c>
      <c r="I1785" t="s">
        <v>5449</v>
      </c>
    </row>
    <row r="1786" spans="3:9" x14ac:dyDescent="0.55000000000000004">
      <c r="C1786" s="7"/>
      <c r="E1786" t="s">
        <v>5450</v>
      </c>
      <c r="F1786">
        <v>0</v>
      </c>
      <c r="G1786" t="s">
        <v>5451</v>
      </c>
      <c r="H1786" t="s">
        <v>5452</v>
      </c>
      <c r="I1786" t="s">
        <v>5453</v>
      </c>
    </row>
    <row r="1787" spans="3:9" x14ac:dyDescent="0.55000000000000004">
      <c r="C1787" s="7"/>
      <c r="E1787" t="s">
        <v>5454</v>
      </c>
      <c r="F1787">
        <v>0</v>
      </c>
      <c r="G1787" t="s">
        <v>4123</v>
      </c>
      <c r="H1787" t="s">
        <v>5455</v>
      </c>
      <c r="I1787" t="s">
        <v>5456</v>
      </c>
    </row>
    <row r="1788" spans="3:9" x14ac:dyDescent="0.55000000000000004">
      <c r="C1788" s="7"/>
      <c r="E1788" t="s">
        <v>5457</v>
      </c>
      <c r="F1788">
        <v>0</v>
      </c>
      <c r="G1788" t="s">
        <v>5458</v>
      </c>
      <c r="H1788" t="s">
        <v>5459</v>
      </c>
      <c r="I1788" t="s">
        <v>5460</v>
      </c>
    </row>
    <row r="1789" spans="3:9" x14ac:dyDescent="0.55000000000000004">
      <c r="C1789" s="7"/>
      <c r="E1789" t="s">
        <v>5461</v>
      </c>
      <c r="F1789">
        <v>0</v>
      </c>
      <c r="G1789" t="s">
        <v>5462</v>
      </c>
      <c r="H1789" t="s">
        <v>5463</v>
      </c>
      <c r="I1789" t="s">
        <v>5464</v>
      </c>
    </row>
    <row r="1790" spans="3:9" x14ac:dyDescent="0.55000000000000004">
      <c r="C1790" s="7"/>
      <c r="E1790" t="s">
        <v>5465</v>
      </c>
      <c r="F1790">
        <v>0</v>
      </c>
      <c r="G1790" t="s">
        <v>5466</v>
      </c>
      <c r="H1790" t="s">
        <v>5467</v>
      </c>
      <c r="I1790" t="s">
        <v>5468</v>
      </c>
    </row>
    <row r="1791" spans="3:9" x14ac:dyDescent="0.55000000000000004">
      <c r="C1791" s="7"/>
      <c r="E1791" t="s">
        <v>5469</v>
      </c>
      <c r="F1791">
        <v>0</v>
      </c>
      <c r="G1791" t="s">
        <v>5470</v>
      </c>
      <c r="H1791" t="s">
        <v>5471</v>
      </c>
      <c r="I1791" t="s">
        <v>5472</v>
      </c>
    </row>
    <row r="1792" spans="3:9" x14ac:dyDescent="0.55000000000000004">
      <c r="C1792" s="7"/>
      <c r="E1792" t="s">
        <v>5473</v>
      </c>
      <c r="F1792">
        <v>0</v>
      </c>
      <c r="G1792" t="s">
        <v>3343</v>
      </c>
      <c r="H1792" t="s">
        <v>5474</v>
      </c>
      <c r="I1792" t="s">
        <v>5475</v>
      </c>
    </row>
    <row r="1793" spans="3:9" x14ac:dyDescent="0.55000000000000004">
      <c r="C1793" s="7"/>
      <c r="E1793" t="s">
        <v>5476</v>
      </c>
      <c r="F1793">
        <v>0</v>
      </c>
      <c r="G1793" t="s">
        <v>5477</v>
      </c>
      <c r="H1793" t="s">
        <v>5478</v>
      </c>
      <c r="I1793" t="s">
        <v>5479</v>
      </c>
    </row>
    <row r="1794" spans="3:9" x14ac:dyDescent="0.55000000000000004">
      <c r="C1794" s="7"/>
      <c r="E1794" t="s">
        <v>5481</v>
      </c>
      <c r="F1794">
        <v>0</v>
      </c>
      <c r="G1794" t="s">
        <v>5482</v>
      </c>
      <c r="H1794" t="s">
        <v>5483</v>
      </c>
      <c r="I1794" t="s">
        <v>5484</v>
      </c>
    </row>
    <row r="1795" spans="3:9" x14ac:dyDescent="0.55000000000000004">
      <c r="C1795" s="7"/>
      <c r="E1795" t="s">
        <v>5485</v>
      </c>
      <c r="F1795">
        <v>0</v>
      </c>
      <c r="G1795" t="s">
        <v>5486</v>
      </c>
      <c r="H1795" t="s">
        <v>5487</v>
      </c>
      <c r="I1795" t="s">
        <v>5488</v>
      </c>
    </row>
    <row r="1796" spans="3:9" x14ac:dyDescent="0.55000000000000004">
      <c r="C1796" s="7"/>
      <c r="E1796" t="s">
        <v>5489</v>
      </c>
      <c r="F1796">
        <v>0</v>
      </c>
      <c r="G1796" t="s">
        <v>5480</v>
      </c>
      <c r="H1796" t="s">
        <v>5490</v>
      </c>
      <c r="I1796" t="s">
        <v>5491</v>
      </c>
    </row>
    <row r="1797" spans="3:9" x14ac:dyDescent="0.55000000000000004">
      <c r="C1797" s="7"/>
      <c r="E1797" t="s">
        <v>5492</v>
      </c>
      <c r="F1797">
        <v>0</v>
      </c>
      <c r="G1797" t="s">
        <v>5493</v>
      </c>
      <c r="H1797" t="s">
        <v>5494</v>
      </c>
      <c r="I1797" t="s">
        <v>5495</v>
      </c>
    </row>
    <row r="1798" spans="3:9" x14ac:dyDescent="0.55000000000000004">
      <c r="C1798" s="7"/>
      <c r="E1798" t="s">
        <v>5496</v>
      </c>
      <c r="F1798">
        <v>0</v>
      </c>
      <c r="G1798" t="s">
        <v>5497</v>
      </c>
      <c r="H1798" t="s">
        <v>5498</v>
      </c>
      <c r="I1798" t="s">
        <v>5499</v>
      </c>
    </row>
    <row r="1799" spans="3:9" x14ac:dyDescent="0.55000000000000004">
      <c r="C1799" s="7"/>
      <c r="E1799" t="s">
        <v>5500</v>
      </c>
      <c r="F1799">
        <v>0</v>
      </c>
      <c r="G1799" t="s">
        <v>3026</v>
      </c>
      <c r="H1799" t="s">
        <v>5501</v>
      </c>
      <c r="I1799" t="s">
        <v>5502</v>
      </c>
    </row>
    <row r="1800" spans="3:9" x14ac:dyDescent="0.55000000000000004">
      <c r="C1800" s="7"/>
      <c r="E1800" t="s">
        <v>5503</v>
      </c>
      <c r="F1800">
        <v>0</v>
      </c>
      <c r="G1800" t="s">
        <v>456</v>
      </c>
      <c r="H1800" t="s">
        <v>5504</v>
      </c>
      <c r="I1800" t="s">
        <v>5505</v>
      </c>
    </row>
    <row r="1801" spans="3:9" x14ac:dyDescent="0.55000000000000004">
      <c r="C1801" s="7"/>
      <c r="E1801" t="s">
        <v>5506</v>
      </c>
      <c r="F1801">
        <v>0</v>
      </c>
      <c r="G1801" t="s">
        <v>5507</v>
      </c>
      <c r="H1801" t="s">
        <v>5508</v>
      </c>
      <c r="I1801" t="s">
        <v>5509</v>
      </c>
    </row>
    <row r="1802" spans="3:9" x14ac:dyDescent="0.55000000000000004">
      <c r="C1802" s="7"/>
      <c r="E1802" t="s">
        <v>5510</v>
      </c>
      <c r="F1802">
        <v>0</v>
      </c>
      <c r="G1802" t="s">
        <v>5511</v>
      </c>
      <c r="H1802" t="s">
        <v>5512</v>
      </c>
      <c r="I1802" t="s">
        <v>5513</v>
      </c>
    </row>
    <row r="1803" spans="3:9" x14ac:dyDescent="0.55000000000000004">
      <c r="C1803" s="7"/>
      <c r="E1803" t="s">
        <v>5514</v>
      </c>
      <c r="F1803">
        <v>0</v>
      </c>
      <c r="G1803" t="s">
        <v>5515</v>
      </c>
      <c r="H1803" t="s">
        <v>5516</v>
      </c>
      <c r="I1803" t="s">
        <v>5517</v>
      </c>
    </row>
    <row r="1804" spans="3:9" x14ac:dyDescent="0.55000000000000004">
      <c r="C1804" s="7"/>
      <c r="E1804" t="s">
        <v>5518</v>
      </c>
      <c r="F1804">
        <v>0</v>
      </c>
      <c r="G1804" t="s">
        <v>4545</v>
      </c>
      <c r="H1804" t="s">
        <v>5519</v>
      </c>
      <c r="I1804" t="s">
        <v>5520</v>
      </c>
    </row>
    <row r="1805" spans="3:9" x14ac:dyDescent="0.55000000000000004">
      <c r="C1805" s="7"/>
      <c r="E1805" t="s">
        <v>5521</v>
      </c>
      <c r="F1805">
        <v>0</v>
      </c>
      <c r="G1805" t="s">
        <v>5522</v>
      </c>
      <c r="H1805" t="s">
        <v>5523</v>
      </c>
      <c r="I1805" t="s">
        <v>5524</v>
      </c>
    </row>
    <row r="1806" spans="3:9" x14ac:dyDescent="0.55000000000000004">
      <c r="C1806" s="7"/>
      <c r="E1806" t="s">
        <v>5525</v>
      </c>
      <c r="F1806">
        <v>0</v>
      </c>
      <c r="G1806" t="s">
        <v>5526</v>
      </c>
      <c r="H1806" t="s">
        <v>5527</v>
      </c>
      <c r="I1806" t="s">
        <v>5528</v>
      </c>
    </row>
    <row r="1807" spans="3:9" x14ac:dyDescent="0.55000000000000004">
      <c r="C1807" s="7"/>
      <c r="E1807" t="s">
        <v>5529</v>
      </c>
      <c r="F1807">
        <v>0</v>
      </c>
      <c r="G1807" t="s">
        <v>5530</v>
      </c>
      <c r="H1807" t="s">
        <v>5531</v>
      </c>
      <c r="I1807" t="s">
        <v>5532</v>
      </c>
    </row>
    <row r="1808" spans="3:9" x14ac:dyDescent="0.55000000000000004">
      <c r="C1808" s="7"/>
      <c r="E1808" t="s">
        <v>5533</v>
      </c>
      <c r="F1808">
        <v>0</v>
      </c>
      <c r="G1808" t="s">
        <v>5534</v>
      </c>
      <c r="H1808" t="s">
        <v>5535</v>
      </c>
      <c r="I1808" t="s">
        <v>5536</v>
      </c>
    </row>
    <row r="1809" spans="3:9" x14ac:dyDescent="0.55000000000000004">
      <c r="C1809" s="7"/>
      <c r="E1809" t="s">
        <v>5538</v>
      </c>
      <c r="F1809">
        <v>0</v>
      </c>
      <c r="G1809" t="s">
        <v>428</v>
      </c>
      <c r="H1809" t="s">
        <v>5539</v>
      </c>
      <c r="I1809" t="s">
        <v>5540</v>
      </c>
    </row>
    <row r="1810" spans="3:9" x14ac:dyDescent="0.55000000000000004">
      <c r="C1810" s="7"/>
      <c r="E1810" t="s">
        <v>5541</v>
      </c>
      <c r="F1810">
        <v>0</v>
      </c>
      <c r="G1810" t="s">
        <v>5542</v>
      </c>
      <c r="H1810" t="s">
        <v>5543</v>
      </c>
      <c r="I1810" t="s">
        <v>5544</v>
      </c>
    </row>
    <row r="1811" spans="3:9" x14ac:dyDescent="0.55000000000000004">
      <c r="C1811" s="7"/>
      <c r="E1811" t="s">
        <v>5545</v>
      </c>
      <c r="F1811">
        <v>0</v>
      </c>
      <c r="G1811" t="s">
        <v>5546</v>
      </c>
      <c r="H1811" t="s">
        <v>5547</v>
      </c>
      <c r="I1811" t="s">
        <v>5548</v>
      </c>
    </row>
    <row r="1812" spans="3:9" x14ac:dyDescent="0.55000000000000004">
      <c r="C1812" s="7"/>
      <c r="E1812" t="s">
        <v>5549</v>
      </c>
      <c r="F1812">
        <v>0</v>
      </c>
      <c r="G1812" t="s">
        <v>5550</v>
      </c>
      <c r="H1812" t="s">
        <v>5551</v>
      </c>
      <c r="I1812" t="s">
        <v>5552</v>
      </c>
    </row>
    <row r="1813" spans="3:9" x14ac:dyDescent="0.55000000000000004">
      <c r="C1813" s="7"/>
      <c r="E1813" t="s">
        <v>5553</v>
      </c>
      <c r="F1813">
        <v>0</v>
      </c>
      <c r="G1813" t="s">
        <v>5554</v>
      </c>
      <c r="H1813" t="s">
        <v>5555</v>
      </c>
      <c r="I1813" t="s">
        <v>5556</v>
      </c>
    </row>
    <row r="1814" spans="3:9" x14ac:dyDescent="0.55000000000000004">
      <c r="C1814" s="7"/>
      <c r="E1814" t="s">
        <v>5557</v>
      </c>
      <c r="F1814">
        <v>0</v>
      </c>
      <c r="G1814" t="s">
        <v>5558</v>
      </c>
      <c r="H1814" t="s">
        <v>5559</v>
      </c>
      <c r="I1814" t="s">
        <v>5560</v>
      </c>
    </row>
    <row r="1815" spans="3:9" x14ac:dyDescent="0.55000000000000004">
      <c r="C1815" s="7"/>
      <c r="E1815" t="s">
        <v>5561</v>
      </c>
      <c r="F1815">
        <v>0</v>
      </c>
      <c r="G1815" t="s">
        <v>5562</v>
      </c>
      <c r="H1815" t="s">
        <v>5563</v>
      </c>
      <c r="I1815" t="s">
        <v>5564</v>
      </c>
    </row>
    <row r="1816" spans="3:9" x14ac:dyDescent="0.55000000000000004">
      <c r="C1816" s="7"/>
      <c r="E1816" t="s">
        <v>5565</v>
      </c>
      <c r="F1816">
        <v>0</v>
      </c>
      <c r="G1816" t="s">
        <v>3855</v>
      </c>
      <c r="H1816" t="s">
        <v>5566</v>
      </c>
      <c r="I1816" t="s">
        <v>5567</v>
      </c>
    </row>
    <row r="1817" spans="3:9" x14ac:dyDescent="0.55000000000000004">
      <c r="C1817" s="7"/>
      <c r="E1817" t="s">
        <v>5568</v>
      </c>
      <c r="F1817">
        <v>0</v>
      </c>
      <c r="G1817" t="s">
        <v>5569</v>
      </c>
      <c r="H1817" t="s">
        <v>5570</v>
      </c>
      <c r="I1817" t="s">
        <v>5571</v>
      </c>
    </row>
    <row r="1818" spans="3:9" x14ac:dyDescent="0.55000000000000004">
      <c r="C1818" s="7"/>
      <c r="E1818" t="s">
        <v>5572</v>
      </c>
      <c r="F1818">
        <v>0</v>
      </c>
      <c r="G1818" t="s">
        <v>5573</v>
      </c>
      <c r="H1818" t="s">
        <v>5574</v>
      </c>
      <c r="I1818" t="s">
        <v>5575</v>
      </c>
    </row>
    <row r="1819" spans="3:9" x14ac:dyDescent="0.55000000000000004">
      <c r="C1819" s="7"/>
      <c r="E1819" t="s">
        <v>5576</v>
      </c>
      <c r="F1819">
        <v>0</v>
      </c>
      <c r="G1819" t="s">
        <v>5577</v>
      </c>
      <c r="H1819" t="s">
        <v>5578</v>
      </c>
      <c r="I1819" t="s">
        <v>5579</v>
      </c>
    </row>
    <row r="1820" spans="3:9" x14ac:dyDescent="0.55000000000000004">
      <c r="C1820" s="7"/>
      <c r="E1820" t="s">
        <v>5580</v>
      </c>
      <c r="F1820">
        <v>0</v>
      </c>
      <c r="G1820" t="s">
        <v>5581</v>
      </c>
      <c r="H1820" t="s">
        <v>5582</v>
      </c>
      <c r="I1820" t="s">
        <v>5583</v>
      </c>
    </row>
    <row r="1821" spans="3:9" x14ac:dyDescent="0.55000000000000004">
      <c r="C1821" s="7"/>
      <c r="E1821" t="s">
        <v>5584</v>
      </c>
      <c r="F1821">
        <v>0</v>
      </c>
      <c r="G1821" t="s">
        <v>5585</v>
      </c>
      <c r="H1821" t="s">
        <v>5586</v>
      </c>
      <c r="I1821" t="s">
        <v>5587</v>
      </c>
    </row>
    <row r="1822" spans="3:9" x14ac:dyDescent="0.55000000000000004">
      <c r="C1822" s="7"/>
      <c r="E1822" t="s">
        <v>5588</v>
      </c>
      <c r="F1822">
        <v>0</v>
      </c>
      <c r="G1822" t="s">
        <v>5589</v>
      </c>
      <c r="H1822" t="s">
        <v>5590</v>
      </c>
      <c r="I1822" t="s">
        <v>5591</v>
      </c>
    </row>
    <row r="1823" spans="3:9" x14ac:dyDescent="0.55000000000000004">
      <c r="C1823" s="7"/>
      <c r="E1823" t="s">
        <v>5592</v>
      </c>
      <c r="F1823">
        <v>0</v>
      </c>
      <c r="G1823" t="s">
        <v>5593</v>
      </c>
      <c r="H1823" t="s">
        <v>5594</v>
      </c>
      <c r="I1823" t="s">
        <v>5595</v>
      </c>
    </row>
    <row r="1824" spans="3:9" x14ac:dyDescent="0.55000000000000004">
      <c r="C1824" s="7"/>
      <c r="E1824" t="s">
        <v>5596</v>
      </c>
      <c r="F1824">
        <v>0</v>
      </c>
      <c r="G1824" t="s">
        <v>5537</v>
      </c>
      <c r="H1824" t="s">
        <v>5597</v>
      </c>
      <c r="I1824" t="s">
        <v>5598</v>
      </c>
    </row>
    <row r="1825" spans="3:9" x14ac:dyDescent="0.55000000000000004">
      <c r="C1825" s="7"/>
      <c r="E1825" t="s">
        <v>5599</v>
      </c>
      <c r="F1825">
        <v>0</v>
      </c>
      <c r="G1825" t="s">
        <v>5600</v>
      </c>
      <c r="H1825" t="s">
        <v>5601</v>
      </c>
      <c r="I1825" t="s">
        <v>5602</v>
      </c>
    </row>
    <row r="1826" spans="3:9" x14ac:dyDescent="0.55000000000000004">
      <c r="C1826" s="7"/>
      <c r="E1826" t="s">
        <v>5603</v>
      </c>
      <c r="F1826">
        <v>0</v>
      </c>
      <c r="G1826" t="s">
        <v>5604</v>
      </c>
      <c r="H1826" t="s">
        <v>5605</v>
      </c>
      <c r="I1826" t="s">
        <v>5606</v>
      </c>
    </row>
    <row r="1827" spans="3:9" x14ac:dyDescent="0.55000000000000004">
      <c r="C1827" s="7"/>
      <c r="E1827" t="s">
        <v>5607</v>
      </c>
      <c r="F1827">
        <v>0</v>
      </c>
      <c r="G1827" t="s">
        <v>5608</v>
      </c>
      <c r="H1827" t="s">
        <v>5609</v>
      </c>
      <c r="I1827" t="s">
        <v>5610</v>
      </c>
    </row>
    <row r="1828" spans="3:9" x14ac:dyDescent="0.55000000000000004">
      <c r="C1828" s="7"/>
      <c r="E1828" t="s">
        <v>5611</v>
      </c>
      <c r="F1828">
        <v>0</v>
      </c>
      <c r="G1828" t="s">
        <v>5612</v>
      </c>
      <c r="H1828" t="s">
        <v>5613</v>
      </c>
      <c r="I1828" t="s">
        <v>5614</v>
      </c>
    </row>
    <row r="1829" spans="3:9" x14ac:dyDescent="0.55000000000000004">
      <c r="C1829" s="7"/>
      <c r="E1829" t="s">
        <v>5615</v>
      </c>
      <c r="F1829">
        <v>0</v>
      </c>
      <c r="G1829" t="s">
        <v>5616</v>
      </c>
      <c r="H1829" t="s">
        <v>5617</v>
      </c>
      <c r="I1829" t="s">
        <v>5618</v>
      </c>
    </row>
    <row r="1830" spans="3:9" x14ac:dyDescent="0.55000000000000004">
      <c r="C1830" s="7"/>
      <c r="E1830" t="s">
        <v>5619</v>
      </c>
      <c r="F1830">
        <v>0</v>
      </c>
      <c r="G1830" t="s">
        <v>5620</v>
      </c>
      <c r="H1830" t="s">
        <v>5621</v>
      </c>
      <c r="I1830" t="s">
        <v>5622</v>
      </c>
    </row>
    <row r="1831" spans="3:9" x14ac:dyDescent="0.55000000000000004">
      <c r="C1831" s="7"/>
      <c r="E1831" t="s">
        <v>5623</v>
      </c>
      <c r="F1831">
        <v>0</v>
      </c>
      <c r="G1831" t="s">
        <v>818</v>
      </c>
      <c r="H1831" t="s">
        <v>5624</v>
      </c>
      <c r="I1831" t="s">
        <v>5625</v>
      </c>
    </row>
    <row r="1832" spans="3:9" x14ac:dyDescent="0.55000000000000004">
      <c r="C1832" s="7"/>
      <c r="E1832" t="s">
        <v>5626</v>
      </c>
      <c r="F1832">
        <v>0</v>
      </c>
      <c r="G1832" t="s">
        <v>5627</v>
      </c>
      <c r="H1832" t="s">
        <v>5628</v>
      </c>
      <c r="I1832" t="s">
        <v>5629</v>
      </c>
    </row>
    <row r="1833" spans="3:9" x14ac:dyDescent="0.55000000000000004">
      <c r="C1833" s="7"/>
      <c r="E1833" t="s">
        <v>5630</v>
      </c>
      <c r="F1833">
        <v>0</v>
      </c>
      <c r="G1833" t="s">
        <v>4677</v>
      </c>
      <c r="H1833" t="s">
        <v>5631</v>
      </c>
      <c r="I1833" t="s">
        <v>5632</v>
      </c>
    </row>
    <row r="1834" spans="3:9" x14ac:dyDescent="0.55000000000000004">
      <c r="C1834" s="7"/>
      <c r="E1834" t="s">
        <v>5633</v>
      </c>
      <c r="F1834">
        <v>0</v>
      </c>
      <c r="G1834" t="s">
        <v>5634</v>
      </c>
      <c r="H1834" t="s">
        <v>5635</v>
      </c>
      <c r="I1834" t="s">
        <v>5636</v>
      </c>
    </row>
    <row r="1835" spans="3:9" x14ac:dyDescent="0.55000000000000004">
      <c r="C1835" s="7"/>
      <c r="E1835" t="s">
        <v>5637</v>
      </c>
      <c r="F1835">
        <v>0</v>
      </c>
      <c r="G1835" t="s">
        <v>5638</v>
      </c>
      <c r="H1835" t="s">
        <v>5639</v>
      </c>
      <c r="I1835" t="s">
        <v>5640</v>
      </c>
    </row>
    <row r="1836" spans="3:9" x14ac:dyDescent="0.55000000000000004">
      <c r="C1836" s="7"/>
      <c r="E1836" t="s">
        <v>5641</v>
      </c>
      <c r="F1836">
        <v>0</v>
      </c>
      <c r="G1836" t="s">
        <v>1823</v>
      </c>
      <c r="H1836" t="s">
        <v>5642</v>
      </c>
      <c r="I1836" t="s">
        <v>5643</v>
      </c>
    </row>
    <row r="1837" spans="3:9" x14ac:dyDescent="0.55000000000000004">
      <c r="C1837" s="7"/>
      <c r="E1837" t="s">
        <v>5644</v>
      </c>
      <c r="F1837">
        <v>0</v>
      </c>
      <c r="G1837" t="s">
        <v>5645</v>
      </c>
      <c r="H1837" t="s">
        <v>5646</v>
      </c>
      <c r="I1837" t="s">
        <v>5647</v>
      </c>
    </row>
    <row r="1838" spans="3:9" x14ac:dyDescent="0.55000000000000004">
      <c r="C1838" s="7"/>
      <c r="E1838" t="s">
        <v>5648</v>
      </c>
      <c r="F1838">
        <v>0</v>
      </c>
      <c r="G1838" t="s">
        <v>5649</v>
      </c>
      <c r="H1838" t="s">
        <v>5650</v>
      </c>
      <c r="I1838" t="s">
        <v>5651</v>
      </c>
    </row>
    <row r="1839" spans="3:9" x14ac:dyDescent="0.55000000000000004">
      <c r="C1839" s="7"/>
      <c r="E1839" t="s">
        <v>5652</v>
      </c>
      <c r="F1839">
        <v>0</v>
      </c>
      <c r="G1839" t="s">
        <v>5653</v>
      </c>
      <c r="H1839" t="s">
        <v>5654</v>
      </c>
      <c r="I1839" t="s">
        <v>5655</v>
      </c>
    </row>
    <row r="1840" spans="3:9" x14ac:dyDescent="0.55000000000000004">
      <c r="C1840" s="7"/>
      <c r="E1840" t="s">
        <v>5656</v>
      </c>
      <c r="F1840">
        <v>0</v>
      </c>
      <c r="G1840" t="s">
        <v>5657</v>
      </c>
      <c r="H1840" t="s">
        <v>5658</v>
      </c>
      <c r="I1840" t="s">
        <v>5659</v>
      </c>
    </row>
    <row r="1841" spans="3:9" x14ac:dyDescent="0.55000000000000004">
      <c r="C1841" s="7"/>
      <c r="E1841" t="s">
        <v>5660</v>
      </c>
      <c r="F1841">
        <v>0</v>
      </c>
      <c r="G1841" t="s">
        <v>5661</v>
      </c>
      <c r="H1841" t="s">
        <v>5662</v>
      </c>
      <c r="I1841" t="s">
        <v>5663</v>
      </c>
    </row>
    <row r="1842" spans="3:9" x14ac:dyDescent="0.55000000000000004">
      <c r="C1842" s="7"/>
      <c r="E1842" t="s">
        <v>5664</v>
      </c>
      <c r="F1842">
        <v>0</v>
      </c>
      <c r="G1842" t="s">
        <v>4464</v>
      </c>
      <c r="H1842" t="s">
        <v>5665</v>
      </c>
      <c r="I1842" t="s">
        <v>5666</v>
      </c>
    </row>
    <row r="1843" spans="3:9" x14ac:dyDescent="0.55000000000000004">
      <c r="C1843" s="7"/>
      <c r="E1843" t="s">
        <v>5668</v>
      </c>
      <c r="F1843">
        <v>0</v>
      </c>
      <c r="G1843" t="s">
        <v>5667</v>
      </c>
      <c r="H1843" t="s">
        <v>5669</v>
      </c>
      <c r="I1843" t="s">
        <v>5670</v>
      </c>
    </row>
    <row r="1844" spans="3:9" x14ac:dyDescent="0.55000000000000004">
      <c r="C1844" s="7"/>
      <c r="E1844" t="s">
        <v>5671</v>
      </c>
      <c r="F1844">
        <v>0</v>
      </c>
      <c r="G1844" t="s">
        <v>5672</v>
      </c>
      <c r="H1844" t="s">
        <v>5673</v>
      </c>
      <c r="I1844" t="s">
        <v>5674</v>
      </c>
    </row>
    <row r="1845" spans="3:9" x14ac:dyDescent="0.55000000000000004">
      <c r="C1845" s="7"/>
      <c r="E1845" t="s">
        <v>5675</v>
      </c>
      <c r="F1845">
        <v>0</v>
      </c>
      <c r="G1845" t="s">
        <v>5676</v>
      </c>
      <c r="H1845" t="s">
        <v>5677</v>
      </c>
      <c r="I1845" t="s">
        <v>5678</v>
      </c>
    </row>
    <row r="1846" spans="3:9" x14ac:dyDescent="0.55000000000000004">
      <c r="C1846" s="7"/>
      <c r="E1846" t="s">
        <v>5679</v>
      </c>
      <c r="F1846">
        <v>0</v>
      </c>
      <c r="G1846" t="s">
        <v>5680</v>
      </c>
      <c r="H1846" t="s">
        <v>5681</v>
      </c>
      <c r="I1846" t="s">
        <v>5682</v>
      </c>
    </row>
    <row r="1847" spans="3:9" x14ac:dyDescent="0.55000000000000004">
      <c r="C1847" s="7"/>
      <c r="E1847" t="s">
        <v>5683</v>
      </c>
      <c r="F1847">
        <v>0</v>
      </c>
      <c r="G1847" t="s">
        <v>5684</v>
      </c>
      <c r="H1847" t="s">
        <v>5685</v>
      </c>
      <c r="I1847" t="s">
        <v>5686</v>
      </c>
    </row>
    <row r="1848" spans="3:9" x14ac:dyDescent="0.55000000000000004">
      <c r="C1848" s="7"/>
      <c r="E1848" t="s">
        <v>5687</v>
      </c>
      <c r="F1848">
        <v>0</v>
      </c>
      <c r="G1848" t="s">
        <v>5688</v>
      </c>
      <c r="H1848" t="s">
        <v>5689</v>
      </c>
      <c r="I1848" t="s">
        <v>5690</v>
      </c>
    </row>
    <row r="1849" spans="3:9" x14ac:dyDescent="0.55000000000000004">
      <c r="C1849" s="7"/>
      <c r="E1849" t="s">
        <v>5691</v>
      </c>
      <c r="F1849">
        <v>0</v>
      </c>
      <c r="G1849" t="s">
        <v>5692</v>
      </c>
      <c r="H1849" t="s">
        <v>5693</v>
      </c>
      <c r="I1849" t="s">
        <v>5694</v>
      </c>
    </row>
    <row r="1850" spans="3:9" x14ac:dyDescent="0.55000000000000004">
      <c r="C1850" s="7"/>
      <c r="E1850" t="s">
        <v>5695</v>
      </c>
      <c r="F1850">
        <v>0</v>
      </c>
      <c r="G1850" t="s">
        <v>5696</v>
      </c>
      <c r="H1850" t="s">
        <v>5697</v>
      </c>
      <c r="I1850" t="s">
        <v>5698</v>
      </c>
    </row>
    <row r="1851" spans="3:9" x14ac:dyDescent="0.55000000000000004">
      <c r="C1851" s="7"/>
      <c r="E1851" t="s">
        <v>5699</v>
      </c>
      <c r="F1851">
        <v>0</v>
      </c>
      <c r="G1851" t="s">
        <v>5700</v>
      </c>
      <c r="H1851" t="s">
        <v>5701</v>
      </c>
      <c r="I1851" t="s">
        <v>5702</v>
      </c>
    </row>
    <row r="1852" spans="3:9" x14ac:dyDescent="0.55000000000000004">
      <c r="C1852" s="7"/>
      <c r="E1852" t="s">
        <v>5703</v>
      </c>
      <c r="F1852">
        <v>0</v>
      </c>
      <c r="G1852" t="s">
        <v>5704</v>
      </c>
      <c r="H1852" t="s">
        <v>5705</v>
      </c>
      <c r="I1852" t="s">
        <v>5706</v>
      </c>
    </row>
    <row r="1853" spans="3:9" x14ac:dyDescent="0.55000000000000004">
      <c r="C1853" s="7"/>
      <c r="E1853" t="s">
        <v>5707</v>
      </c>
      <c r="F1853">
        <v>0</v>
      </c>
      <c r="G1853" t="s">
        <v>5708</v>
      </c>
      <c r="H1853" t="s">
        <v>5709</v>
      </c>
      <c r="I1853" t="s">
        <v>5710</v>
      </c>
    </row>
    <row r="1854" spans="3:9" x14ac:dyDescent="0.55000000000000004">
      <c r="C1854" s="7"/>
      <c r="E1854" t="s">
        <v>5711</v>
      </c>
      <c r="F1854">
        <v>0</v>
      </c>
      <c r="G1854" t="s">
        <v>5712</v>
      </c>
      <c r="H1854" t="s">
        <v>5713</v>
      </c>
      <c r="I1854" t="s">
        <v>5714</v>
      </c>
    </row>
    <row r="1855" spans="3:9" x14ac:dyDescent="0.55000000000000004">
      <c r="C1855" s="7"/>
      <c r="E1855" t="s">
        <v>5715</v>
      </c>
      <c r="F1855">
        <v>0</v>
      </c>
      <c r="G1855" t="s">
        <v>4506</v>
      </c>
      <c r="H1855" t="s">
        <v>4507</v>
      </c>
      <c r="I1855" t="s">
        <v>5716</v>
      </c>
    </row>
    <row r="1856" spans="3:9" x14ac:dyDescent="0.55000000000000004">
      <c r="C1856" s="7"/>
      <c r="E1856" t="s">
        <v>5717</v>
      </c>
      <c r="F1856">
        <v>0</v>
      </c>
      <c r="G1856" t="s">
        <v>5718</v>
      </c>
      <c r="H1856" t="s">
        <v>5719</v>
      </c>
      <c r="I1856" t="s">
        <v>5720</v>
      </c>
    </row>
    <row r="1857" spans="3:9" x14ac:dyDescent="0.55000000000000004">
      <c r="C1857" s="7"/>
      <c r="E1857" t="s">
        <v>5721</v>
      </c>
      <c r="F1857">
        <v>0</v>
      </c>
      <c r="G1857" t="s">
        <v>5722</v>
      </c>
      <c r="H1857" t="s">
        <v>5723</v>
      </c>
      <c r="I1857" t="s">
        <v>5724</v>
      </c>
    </row>
    <row r="1858" spans="3:9" x14ac:dyDescent="0.55000000000000004">
      <c r="C1858" s="7"/>
      <c r="E1858" t="s">
        <v>5725</v>
      </c>
      <c r="F1858">
        <v>0</v>
      </c>
      <c r="G1858" t="s">
        <v>5726</v>
      </c>
      <c r="H1858" t="s">
        <v>5727</v>
      </c>
      <c r="I1858" t="s">
        <v>5728</v>
      </c>
    </row>
    <row r="1859" spans="3:9" x14ac:dyDescent="0.55000000000000004">
      <c r="C1859" s="7"/>
      <c r="E1859" t="s">
        <v>5729</v>
      </c>
      <c r="F1859">
        <v>0</v>
      </c>
      <c r="G1859" t="s">
        <v>5730</v>
      </c>
      <c r="H1859" t="s">
        <v>5731</v>
      </c>
      <c r="I1859" t="s">
        <v>5732</v>
      </c>
    </row>
    <row r="1860" spans="3:9" x14ac:dyDescent="0.55000000000000004">
      <c r="C1860" s="7"/>
      <c r="E1860" t="s">
        <v>5733</v>
      </c>
      <c r="F1860">
        <v>0</v>
      </c>
      <c r="G1860" t="s">
        <v>5734</v>
      </c>
      <c r="H1860" t="s">
        <v>5735</v>
      </c>
      <c r="I1860" t="s">
        <v>5736</v>
      </c>
    </row>
    <row r="1861" spans="3:9" x14ac:dyDescent="0.55000000000000004">
      <c r="C1861" s="7"/>
      <c r="E1861" t="s">
        <v>5737</v>
      </c>
      <c r="F1861">
        <v>0</v>
      </c>
      <c r="G1861" t="s">
        <v>5738</v>
      </c>
      <c r="H1861" t="s">
        <v>5739</v>
      </c>
      <c r="I1861" t="s">
        <v>5740</v>
      </c>
    </row>
    <row r="1862" spans="3:9" x14ac:dyDescent="0.55000000000000004">
      <c r="C1862" s="7"/>
      <c r="E1862" t="s">
        <v>5741</v>
      </c>
      <c r="F1862">
        <v>0</v>
      </c>
      <c r="G1862" t="s">
        <v>5742</v>
      </c>
      <c r="H1862" t="s">
        <v>5743</v>
      </c>
      <c r="I1862" t="s">
        <v>5744</v>
      </c>
    </row>
    <row r="1863" spans="3:9" x14ac:dyDescent="0.55000000000000004">
      <c r="C1863" s="7"/>
      <c r="E1863" t="s">
        <v>5745</v>
      </c>
      <c r="F1863">
        <v>0</v>
      </c>
      <c r="G1863" t="s">
        <v>5746</v>
      </c>
      <c r="H1863" t="s">
        <v>5747</v>
      </c>
      <c r="I1863" t="s">
        <v>5748</v>
      </c>
    </row>
    <row r="1864" spans="3:9" x14ac:dyDescent="0.55000000000000004">
      <c r="C1864" s="7"/>
      <c r="E1864" t="s">
        <v>5749</v>
      </c>
      <c r="F1864">
        <v>0</v>
      </c>
      <c r="G1864" t="s">
        <v>5750</v>
      </c>
      <c r="H1864" t="s">
        <v>5751</v>
      </c>
      <c r="I1864" t="s">
        <v>5752</v>
      </c>
    </row>
    <row r="1865" spans="3:9" x14ac:dyDescent="0.55000000000000004">
      <c r="C1865" s="7"/>
      <c r="E1865" t="s">
        <v>5753</v>
      </c>
      <c r="F1865">
        <v>0</v>
      </c>
      <c r="G1865" t="s">
        <v>5754</v>
      </c>
      <c r="H1865" t="s">
        <v>5755</v>
      </c>
      <c r="I1865" t="s">
        <v>5756</v>
      </c>
    </row>
    <row r="1866" spans="3:9" x14ac:dyDescent="0.55000000000000004">
      <c r="C1866" s="7"/>
      <c r="E1866" t="s">
        <v>5757</v>
      </c>
      <c r="F1866">
        <v>0</v>
      </c>
      <c r="G1866" t="s">
        <v>5758</v>
      </c>
      <c r="H1866" t="s">
        <v>5759</v>
      </c>
      <c r="I1866" t="s">
        <v>5760</v>
      </c>
    </row>
    <row r="1867" spans="3:9" x14ac:dyDescent="0.55000000000000004">
      <c r="C1867" s="7"/>
      <c r="E1867" t="s">
        <v>5761</v>
      </c>
      <c r="F1867">
        <v>0</v>
      </c>
      <c r="G1867" t="s">
        <v>5762</v>
      </c>
      <c r="H1867" t="s">
        <v>5763</v>
      </c>
      <c r="I1867" t="s">
        <v>5764</v>
      </c>
    </row>
    <row r="1868" spans="3:9" x14ac:dyDescent="0.55000000000000004">
      <c r="C1868" s="7"/>
      <c r="E1868" t="s">
        <v>5765</v>
      </c>
      <c r="F1868">
        <v>0</v>
      </c>
      <c r="G1868" t="s">
        <v>5766</v>
      </c>
      <c r="H1868" t="s">
        <v>5767</v>
      </c>
      <c r="I1868" t="s">
        <v>5768</v>
      </c>
    </row>
    <row r="1869" spans="3:9" x14ac:dyDescent="0.55000000000000004">
      <c r="C1869" s="7"/>
      <c r="E1869" t="s">
        <v>5769</v>
      </c>
      <c r="F1869">
        <v>0</v>
      </c>
      <c r="G1869" t="s">
        <v>464</v>
      </c>
      <c r="H1869" t="s">
        <v>5770</v>
      </c>
      <c r="I1869" t="s">
        <v>5771</v>
      </c>
    </row>
    <row r="1870" spans="3:9" x14ac:dyDescent="0.55000000000000004">
      <c r="C1870" s="7"/>
      <c r="E1870" t="s">
        <v>5772</v>
      </c>
      <c r="F1870">
        <v>0</v>
      </c>
      <c r="G1870" t="s">
        <v>282</v>
      </c>
      <c r="H1870" t="s">
        <v>5773</v>
      </c>
      <c r="I1870" t="s">
        <v>5774</v>
      </c>
    </row>
    <row r="1871" spans="3:9" x14ac:dyDescent="0.55000000000000004">
      <c r="C1871" s="7"/>
      <c r="E1871" t="s">
        <v>5775</v>
      </c>
      <c r="F1871">
        <v>0</v>
      </c>
      <c r="G1871" t="s">
        <v>5776</v>
      </c>
      <c r="H1871" t="s">
        <v>5777</v>
      </c>
      <c r="I1871" t="s">
        <v>5778</v>
      </c>
    </row>
    <row r="1872" spans="3:9" x14ac:dyDescent="0.55000000000000004">
      <c r="C1872" s="7"/>
      <c r="E1872" t="s">
        <v>5779</v>
      </c>
      <c r="F1872">
        <v>0</v>
      </c>
      <c r="G1872" t="s">
        <v>5780</v>
      </c>
      <c r="H1872" t="s">
        <v>5781</v>
      </c>
      <c r="I1872" t="s">
        <v>5782</v>
      </c>
    </row>
    <row r="1873" spans="3:9" x14ac:dyDescent="0.55000000000000004">
      <c r="C1873" s="7"/>
      <c r="E1873" t="s">
        <v>5783</v>
      </c>
      <c r="F1873">
        <v>0</v>
      </c>
      <c r="G1873" t="s">
        <v>5784</v>
      </c>
      <c r="H1873" t="s">
        <v>5785</v>
      </c>
      <c r="I1873" t="s">
        <v>5786</v>
      </c>
    </row>
    <row r="1874" spans="3:9" x14ac:dyDescent="0.55000000000000004">
      <c r="C1874" s="7"/>
      <c r="E1874" t="s">
        <v>5787</v>
      </c>
      <c r="F1874">
        <v>0</v>
      </c>
      <c r="G1874" t="s">
        <v>5788</v>
      </c>
      <c r="H1874" t="s">
        <v>5789</v>
      </c>
      <c r="I1874" t="s">
        <v>5790</v>
      </c>
    </row>
    <row r="1875" spans="3:9" x14ac:dyDescent="0.55000000000000004">
      <c r="C1875" s="7"/>
      <c r="E1875" t="s">
        <v>5791</v>
      </c>
      <c r="F1875">
        <v>0</v>
      </c>
      <c r="G1875" t="s">
        <v>5792</v>
      </c>
      <c r="H1875" t="s">
        <v>5793</v>
      </c>
      <c r="I1875" t="s">
        <v>5794</v>
      </c>
    </row>
    <row r="1876" spans="3:9" x14ac:dyDescent="0.55000000000000004">
      <c r="C1876" s="7"/>
      <c r="E1876" t="s">
        <v>5795</v>
      </c>
      <c r="F1876">
        <v>0</v>
      </c>
      <c r="G1876" t="s">
        <v>5796</v>
      </c>
      <c r="H1876" t="s">
        <v>5797</v>
      </c>
      <c r="I1876" t="s">
        <v>5798</v>
      </c>
    </row>
    <row r="1877" spans="3:9" x14ac:dyDescent="0.55000000000000004">
      <c r="C1877" s="7"/>
      <c r="E1877" t="s">
        <v>5799</v>
      </c>
      <c r="F1877">
        <v>0</v>
      </c>
      <c r="G1877" t="s">
        <v>5800</v>
      </c>
      <c r="H1877" t="s">
        <v>5801</v>
      </c>
      <c r="I1877" t="s">
        <v>5802</v>
      </c>
    </row>
    <row r="1878" spans="3:9" x14ac:dyDescent="0.55000000000000004">
      <c r="C1878" s="7"/>
      <c r="E1878" t="s">
        <v>5803</v>
      </c>
      <c r="F1878">
        <v>0</v>
      </c>
      <c r="G1878" t="s">
        <v>5804</v>
      </c>
      <c r="H1878" t="s">
        <v>5805</v>
      </c>
      <c r="I1878" t="s">
        <v>5806</v>
      </c>
    </row>
    <row r="1879" spans="3:9" x14ac:dyDescent="0.55000000000000004">
      <c r="C1879" s="7"/>
      <c r="E1879" t="s">
        <v>5807</v>
      </c>
      <c r="F1879">
        <v>0</v>
      </c>
      <c r="G1879" t="s">
        <v>5808</v>
      </c>
      <c r="H1879" t="s">
        <v>5809</v>
      </c>
      <c r="I1879" t="s">
        <v>5810</v>
      </c>
    </row>
    <row r="1880" spans="3:9" x14ac:dyDescent="0.55000000000000004">
      <c r="C1880" s="7"/>
      <c r="E1880" t="s">
        <v>5811</v>
      </c>
      <c r="F1880">
        <v>0</v>
      </c>
      <c r="G1880" t="s">
        <v>5812</v>
      </c>
      <c r="H1880" t="s">
        <v>5813</v>
      </c>
      <c r="I1880" t="s">
        <v>5814</v>
      </c>
    </row>
    <row r="1881" spans="3:9" x14ac:dyDescent="0.55000000000000004">
      <c r="C1881" s="7"/>
      <c r="E1881" t="s">
        <v>5815</v>
      </c>
      <c r="F1881">
        <v>0</v>
      </c>
      <c r="G1881" t="s">
        <v>5816</v>
      </c>
      <c r="H1881" t="s">
        <v>5817</v>
      </c>
      <c r="I1881" t="s">
        <v>5818</v>
      </c>
    </row>
    <row r="1882" spans="3:9" x14ac:dyDescent="0.55000000000000004">
      <c r="C1882" s="7"/>
      <c r="E1882" t="s">
        <v>5819</v>
      </c>
      <c r="F1882">
        <v>0</v>
      </c>
      <c r="G1882" t="s">
        <v>5820</v>
      </c>
      <c r="H1882" t="s">
        <v>5821</v>
      </c>
      <c r="I1882" t="s">
        <v>5822</v>
      </c>
    </row>
    <row r="1883" spans="3:9" x14ac:dyDescent="0.55000000000000004">
      <c r="C1883" s="7"/>
      <c r="E1883" t="s">
        <v>5823</v>
      </c>
      <c r="F1883">
        <v>0</v>
      </c>
      <c r="G1883" t="s">
        <v>5824</v>
      </c>
      <c r="H1883" t="s">
        <v>5825</v>
      </c>
      <c r="I1883" t="s">
        <v>5826</v>
      </c>
    </row>
    <row r="1884" spans="3:9" x14ac:dyDescent="0.55000000000000004">
      <c r="C1884" s="7"/>
      <c r="E1884" t="s">
        <v>5827</v>
      </c>
      <c r="F1884">
        <v>0</v>
      </c>
      <c r="G1884" t="s">
        <v>5828</v>
      </c>
      <c r="H1884" t="s">
        <v>863</v>
      </c>
      <c r="I1884" t="s">
        <v>5829</v>
      </c>
    </row>
    <row r="1885" spans="3:9" x14ac:dyDescent="0.55000000000000004">
      <c r="C1885" s="7"/>
      <c r="E1885" t="s">
        <v>5830</v>
      </c>
      <c r="F1885">
        <v>0</v>
      </c>
      <c r="G1885" t="s">
        <v>5831</v>
      </c>
      <c r="H1885" t="s">
        <v>5832</v>
      </c>
      <c r="I1885" t="s">
        <v>5833</v>
      </c>
    </row>
    <row r="1886" spans="3:9" x14ac:dyDescent="0.55000000000000004">
      <c r="C1886" s="7"/>
      <c r="E1886" t="s">
        <v>5834</v>
      </c>
      <c r="F1886">
        <v>0</v>
      </c>
      <c r="G1886" t="s">
        <v>5835</v>
      </c>
      <c r="H1886" t="s">
        <v>5836</v>
      </c>
      <c r="I1886" t="s">
        <v>5837</v>
      </c>
    </row>
    <row r="1887" spans="3:9" x14ac:dyDescent="0.55000000000000004">
      <c r="C1887" s="7"/>
      <c r="E1887" t="s">
        <v>5838</v>
      </c>
      <c r="F1887">
        <v>0</v>
      </c>
      <c r="G1887" t="s">
        <v>5839</v>
      </c>
      <c r="H1887" t="s">
        <v>5840</v>
      </c>
      <c r="I1887" t="s">
        <v>5841</v>
      </c>
    </row>
    <row r="1888" spans="3:9" x14ac:dyDescent="0.55000000000000004">
      <c r="C1888" s="7"/>
      <c r="E1888" t="s">
        <v>5842</v>
      </c>
      <c r="F1888">
        <v>0</v>
      </c>
      <c r="G1888" t="s">
        <v>5843</v>
      </c>
      <c r="H1888" t="s">
        <v>5844</v>
      </c>
      <c r="I1888" t="s">
        <v>5845</v>
      </c>
    </row>
    <row r="1889" spans="3:9" x14ac:dyDescent="0.55000000000000004">
      <c r="C1889" s="7"/>
      <c r="E1889" t="s">
        <v>5846</v>
      </c>
      <c r="F1889">
        <v>0</v>
      </c>
      <c r="G1889" t="s">
        <v>5847</v>
      </c>
      <c r="H1889" t="s">
        <v>5848</v>
      </c>
      <c r="I1889" t="s">
        <v>5849</v>
      </c>
    </row>
    <row r="1890" spans="3:9" x14ac:dyDescent="0.55000000000000004">
      <c r="C1890" s="7"/>
      <c r="E1890" t="s">
        <v>5850</v>
      </c>
      <c r="F1890">
        <v>0</v>
      </c>
      <c r="G1890" t="s">
        <v>5851</v>
      </c>
      <c r="H1890" t="s">
        <v>5852</v>
      </c>
      <c r="I1890" t="s">
        <v>5853</v>
      </c>
    </row>
    <row r="1891" spans="3:9" x14ac:dyDescent="0.55000000000000004">
      <c r="C1891" s="7"/>
      <c r="E1891" t="s">
        <v>5854</v>
      </c>
      <c r="F1891">
        <v>0</v>
      </c>
      <c r="G1891" t="s">
        <v>5855</v>
      </c>
      <c r="H1891" t="s">
        <v>5856</v>
      </c>
      <c r="I1891" t="s">
        <v>5857</v>
      </c>
    </row>
    <row r="1892" spans="3:9" x14ac:dyDescent="0.55000000000000004">
      <c r="C1892" s="7"/>
      <c r="E1892" t="s">
        <v>5858</v>
      </c>
      <c r="F1892">
        <v>0</v>
      </c>
      <c r="G1892" t="s">
        <v>5859</v>
      </c>
      <c r="H1892" t="s">
        <v>5860</v>
      </c>
      <c r="I1892" t="s">
        <v>5861</v>
      </c>
    </row>
    <row r="1893" spans="3:9" x14ac:dyDescent="0.55000000000000004">
      <c r="C1893" s="7"/>
      <c r="E1893" t="s">
        <v>5862</v>
      </c>
      <c r="F1893">
        <v>0</v>
      </c>
      <c r="G1893" t="s">
        <v>5863</v>
      </c>
      <c r="H1893" t="s">
        <v>5864</v>
      </c>
      <c r="I1893" t="s">
        <v>5865</v>
      </c>
    </row>
    <row r="1894" spans="3:9" x14ac:dyDescent="0.55000000000000004">
      <c r="C1894" s="7"/>
      <c r="E1894" t="s">
        <v>5866</v>
      </c>
      <c r="F1894">
        <v>0</v>
      </c>
      <c r="G1894" t="s">
        <v>5867</v>
      </c>
      <c r="H1894" t="s">
        <v>5868</v>
      </c>
      <c r="I1894" t="s">
        <v>5869</v>
      </c>
    </row>
    <row r="1895" spans="3:9" x14ac:dyDescent="0.55000000000000004">
      <c r="C1895" s="7"/>
      <c r="E1895" t="s">
        <v>5870</v>
      </c>
      <c r="F1895">
        <v>0</v>
      </c>
      <c r="G1895" t="s">
        <v>1079</v>
      </c>
      <c r="H1895" t="s">
        <v>5871</v>
      </c>
      <c r="I1895" t="s">
        <v>5872</v>
      </c>
    </row>
    <row r="1896" spans="3:9" x14ac:dyDescent="0.55000000000000004">
      <c r="C1896" s="7"/>
      <c r="E1896" t="s">
        <v>5873</v>
      </c>
      <c r="F1896">
        <v>0</v>
      </c>
      <c r="G1896" t="s">
        <v>5874</v>
      </c>
      <c r="H1896" t="s">
        <v>5875</v>
      </c>
      <c r="I1896" t="s">
        <v>5876</v>
      </c>
    </row>
    <row r="1897" spans="3:9" x14ac:dyDescent="0.55000000000000004">
      <c r="C1897" s="7"/>
      <c r="E1897" t="s">
        <v>5877</v>
      </c>
      <c r="F1897">
        <v>0</v>
      </c>
      <c r="G1897" t="s">
        <v>5878</v>
      </c>
      <c r="H1897" t="s">
        <v>5879</v>
      </c>
      <c r="I1897" t="s">
        <v>5880</v>
      </c>
    </row>
    <row r="1898" spans="3:9" x14ac:dyDescent="0.55000000000000004">
      <c r="C1898" s="7"/>
      <c r="E1898" t="s">
        <v>5881</v>
      </c>
      <c r="F1898">
        <v>0</v>
      </c>
      <c r="G1898" t="s">
        <v>5882</v>
      </c>
      <c r="H1898" t="s">
        <v>5883</v>
      </c>
      <c r="I1898" t="s">
        <v>5884</v>
      </c>
    </row>
    <row r="1899" spans="3:9" x14ac:dyDescent="0.55000000000000004">
      <c r="C1899" s="7"/>
      <c r="E1899" t="s">
        <v>5885</v>
      </c>
      <c r="F1899">
        <v>0</v>
      </c>
      <c r="G1899" t="s">
        <v>5886</v>
      </c>
      <c r="H1899" t="s">
        <v>5887</v>
      </c>
      <c r="I1899" t="s">
        <v>5888</v>
      </c>
    </row>
    <row r="1900" spans="3:9" x14ac:dyDescent="0.55000000000000004">
      <c r="C1900" s="7"/>
      <c r="E1900" t="s">
        <v>5889</v>
      </c>
      <c r="F1900">
        <v>0</v>
      </c>
      <c r="G1900" t="s">
        <v>5890</v>
      </c>
      <c r="H1900" t="s">
        <v>5891</v>
      </c>
      <c r="I1900" t="s">
        <v>5892</v>
      </c>
    </row>
    <row r="1901" spans="3:9" x14ac:dyDescent="0.55000000000000004">
      <c r="C1901" s="7"/>
      <c r="E1901" t="s">
        <v>5893</v>
      </c>
      <c r="F1901">
        <v>0</v>
      </c>
      <c r="G1901" t="s">
        <v>5894</v>
      </c>
      <c r="H1901" t="s">
        <v>5895</v>
      </c>
      <c r="I1901" t="s">
        <v>5896</v>
      </c>
    </row>
    <row r="1902" spans="3:9" x14ac:dyDescent="0.55000000000000004">
      <c r="C1902" s="7"/>
      <c r="E1902" t="s">
        <v>5897</v>
      </c>
      <c r="F1902">
        <v>0</v>
      </c>
      <c r="G1902" t="s">
        <v>5898</v>
      </c>
      <c r="H1902" t="s">
        <v>5899</v>
      </c>
      <c r="I1902" t="s">
        <v>5900</v>
      </c>
    </row>
    <row r="1903" spans="3:9" x14ac:dyDescent="0.55000000000000004">
      <c r="C1903" s="7"/>
      <c r="E1903" t="s">
        <v>5902</v>
      </c>
      <c r="F1903">
        <v>0</v>
      </c>
      <c r="G1903" t="s">
        <v>5903</v>
      </c>
      <c r="H1903" t="s">
        <v>5904</v>
      </c>
      <c r="I1903" t="s">
        <v>5905</v>
      </c>
    </row>
    <row r="1904" spans="3:9" x14ac:dyDescent="0.55000000000000004">
      <c r="C1904" s="7"/>
      <c r="E1904" t="s">
        <v>5906</v>
      </c>
      <c r="F1904">
        <v>0</v>
      </c>
      <c r="G1904" t="s">
        <v>5907</v>
      </c>
      <c r="H1904" t="s">
        <v>5908</v>
      </c>
      <c r="I1904" t="s">
        <v>5909</v>
      </c>
    </row>
    <row r="1905" spans="3:9" x14ac:dyDescent="0.55000000000000004">
      <c r="C1905" s="7"/>
      <c r="E1905" t="s">
        <v>5910</v>
      </c>
      <c r="F1905">
        <v>0</v>
      </c>
      <c r="G1905" t="s">
        <v>5911</v>
      </c>
      <c r="H1905" t="s">
        <v>5912</v>
      </c>
      <c r="I1905" t="s">
        <v>5913</v>
      </c>
    </row>
    <row r="1906" spans="3:9" x14ac:dyDescent="0.55000000000000004">
      <c r="C1906" s="7"/>
      <c r="E1906" t="s">
        <v>5914</v>
      </c>
      <c r="F1906">
        <v>0</v>
      </c>
      <c r="G1906" t="s">
        <v>5915</v>
      </c>
      <c r="H1906" t="s">
        <v>5916</v>
      </c>
      <c r="I1906" t="s">
        <v>5917</v>
      </c>
    </row>
    <row r="1907" spans="3:9" x14ac:dyDescent="0.55000000000000004">
      <c r="C1907" s="7"/>
      <c r="E1907" t="s">
        <v>5918</v>
      </c>
      <c r="F1907">
        <v>0</v>
      </c>
      <c r="G1907" t="s">
        <v>5919</v>
      </c>
      <c r="H1907" t="s">
        <v>5920</v>
      </c>
      <c r="I1907" t="s">
        <v>5921</v>
      </c>
    </row>
    <row r="1908" spans="3:9" x14ac:dyDescent="0.55000000000000004">
      <c r="C1908" s="7"/>
      <c r="E1908" t="s">
        <v>5922</v>
      </c>
      <c r="F1908">
        <v>0</v>
      </c>
      <c r="G1908" t="s">
        <v>5923</v>
      </c>
      <c r="H1908" t="s">
        <v>5924</v>
      </c>
      <c r="I1908" t="s">
        <v>5925</v>
      </c>
    </row>
    <row r="1909" spans="3:9" x14ac:dyDescent="0.55000000000000004">
      <c r="C1909" s="7"/>
      <c r="E1909" t="s">
        <v>5926</v>
      </c>
      <c r="F1909">
        <v>0</v>
      </c>
      <c r="G1909" t="s">
        <v>5901</v>
      </c>
      <c r="H1909" t="s">
        <v>5927</v>
      </c>
      <c r="I1909" t="s">
        <v>5928</v>
      </c>
    </row>
    <row r="1910" spans="3:9" x14ac:dyDescent="0.55000000000000004">
      <c r="C1910" s="7"/>
      <c r="E1910" t="s">
        <v>5929</v>
      </c>
      <c r="F1910">
        <v>0</v>
      </c>
      <c r="G1910" t="s">
        <v>5930</v>
      </c>
      <c r="H1910" t="s">
        <v>5931</v>
      </c>
      <c r="I1910" t="s">
        <v>5932</v>
      </c>
    </row>
    <row r="1911" spans="3:9" x14ac:dyDescent="0.55000000000000004">
      <c r="C1911" s="7"/>
      <c r="E1911" t="s">
        <v>5933</v>
      </c>
      <c r="F1911">
        <v>0</v>
      </c>
      <c r="G1911" t="s">
        <v>5934</v>
      </c>
      <c r="H1911" t="s">
        <v>5935</v>
      </c>
      <c r="I1911" t="s">
        <v>5936</v>
      </c>
    </row>
    <row r="1912" spans="3:9" x14ac:dyDescent="0.55000000000000004">
      <c r="C1912" s="7"/>
      <c r="E1912" t="s">
        <v>5937</v>
      </c>
      <c r="F1912">
        <v>0</v>
      </c>
      <c r="G1912" t="s">
        <v>5938</v>
      </c>
      <c r="H1912" t="s">
        <v>5939</v>
      </c>
      <c r="I1912" t="s">
        <v>5940</v>
      </c>
    </row>
    <row r="1913" spans="3:9" x14ac:dyDescent="0.55000000000000004">
      <c r="C1913" s="7"/>
      <c r="E1913" t="s">
        <v>5941</v>
      </c>
      <c r="F1913">
        <v>0</v>
      </c>
      <c r="G1913" t="s">
        <v>5942</v>
      </c>
      <c r="H1913" t="s">
        <v>5943</v>
      </c>
      <c r="I1913" t="s">
        <v>5944</v>
      </c>
    </row>
    <row r="1914" spans="3:9" x14ac:dyDescent="0.55000000000000004">
      <c r="C1914" s="7"/>
      <c r="E1914" t="s">
        <v>5945</v>
      </c>
      <c r="F1914">
        <v>0</v>
      </c>
      <c r="G1914" t="s">
        <v>5946</v>
      </c>
      <c r="H1914" t="s">
        <v>5947</v>
      </c>
      <c r="I1914" t="s">
        <v>5948</v>
      </c>
    </row>
    <row r="1915" spans="3:9" x14ac:dyDescent="0.55000000000000004">
      <c r="C1915" s="7"/>
      <c r="E1915" t="s">
        <v>5949</v>
      </c>
      <c r="F1915">
        <v>0</v>
      </c>
      <c r="G1915" t="s">
        <v>5950</v>
      </c>
      <c r="H1915" t="s">
        <v>5951</v>
      </c>
      <c r="I1915" t="s">
        <v>5952</v>
      </c>
    </row>
    <row r="1916" spans="3:9" x14ac:dyDescent="0.55000000000000004">
      <c r="C1916" s="7"/>
      <c r="E1916" t="s">
        <v>5954</v>
      </c>
      <c r="F1916">
        <v>0</v>
      </c>
      <c r="G1916" t="s">
        <v>5955</v>
      </c>
      <c r="H1916" t="s">
        <v>5956</v>
      </c>
      <c r="I1916" t="s">
        <v>5957</v>
      </c>
    </row>
    <row r="1917" spans="3:9" x14ac:dyDescent="0.55000000000000004">
      <c r="C1917" s="7"/>
      <c r="E1917" t="s">
        <v>5958</v>
      </c>
      <c r="F1917">
        <v>0</v>
      </c>
      <c r="G1917" t="s">
        <v>5959</v>
      </c>
      <c r="H1917" t="s">
        <v>5960</v>
      </c>
      <c r="I1917" t="s">
        <v>5961</v>
      </c>
    </row>
    <row r="1918" spans="3:9" x14ac:dyDescent="0.55000000000000004">
      <c r="C1918" s="7"/>
      <c r="E1918" t="s">
        <v>5962</v>
      </c>
      <c r="F1918">
        <v>0</v>
      </c>
      <c r="G1918" t="s">
        <v>5963</v>
      </c>
      <c r="H1918" t="s">
        <v>5964</v>
      </c>
      <c r="I1918" t="s">
        <v>5965</v>
      </c>
    </row>
    <row r="1919" spans="3:9" x14ac:dyDescent="0.55000000000000004">
      <c r="C1919" s="7"/>
      <c r="E1919" t="s">
        <v>5966</v>
      </c>
      <c r="F1919">
        <v>0</v>
      </c>
      <c r="G1919" t="s">
        <v>5967</v>
      </c>
      <c r="H1919" t="s">
        <v>5968</v>
      </c>
      <c r="I1919" t="s">
        <v>5969</v>
      </c>
    </row>
    <row r="1920" spans="3:9" x14ac:dyDescent="0.55000000000000004">
      <c r="C1920" s="7"/>
      <c r="E1920" t="s">
        <v>5970</v>
      </c>
      <c r="F1920">
        <v>0</v>
      </c>
      <c r="G1920" t="s">
        <v>5971</v>
      </c>
      <c r="H1920" t="s">
        <v>5972</v>
      </c>
      <c r="I1920" t="s">
        <v>5973</v>
      </c>
    </row>
    <row r="1921" spans="3:9" x14ac:dyDescent="0.55000000000000004">
      <c r="C1921" s="7"/>
      <c r="E1921" t="s">
        <v>5974</v>
      </c>
      <c r="F1921">
        <v>0</v>
      </c>
      <c r="G1921" t="s">
        <v>5975</v>
      </c>
      <c r="H1921" t="s">
        <v>5976</v>
      </c>
      <c r="I1921" t="s">
        <v>5977</v>
      </c>
    </row>
    <row r="1922" spans="3:9" x14ac:dyDescent="0.55000000000000004">
      <c r="C1922" s="7"/>
      <c r="E1922" t="s">
        <v>5978</v>
      </c>
      <c r="F1922">
        <v>0</v>
      </c>
      <c r="G1922" t="s">
        <v>5979</v>
      </c>
      <c r="H1922" t="s">
        <v>5980</v>
      </c>
      <c r="I1922" t="s">
        <v>5981</v>
      </c>
    </row>
    <row r="1923" spans="3:9" x14ac:dyDescent="0.55000000000000004">
      <c r="C1923" s="7"/>
      <c r="E1923" t="s">
        <v>5982</v>
      </c>
      <c r="F1923">
        <v>0</v>
      </c>
      <c r="G1923" t="s">
        <v>5953</v>
      </c>
      <c r="H1923" t="s">
        <v>5983</v>
      </c>
      <c r="I1923" t="s">
        <v>5984</v>
      </c>
    </row>
    <row r="1924" spans="3:9" x14ac:dyDescent="0.55000000000000004">
      <c r="C1924" s="7"/>
      <c r="E1924" t="s">
        <v>5985</v>
      </c>
      <c r="F1924">
        <v>0</v>
      </c>
      <c r="G1924" t="s">
        <v>5986</v>
      </c>
      <c r="H1924" t="s">
        <v>5987</v>
      </c>
      <c r="I1924" t="s">
        <v>5988</v>
      </c>
    </row>
    <row r="1925" spans="3:9" x14ac:dyDescent="0.55000000000000004">
      <c r="C1925" s="7"/>
      <c r="E1925" t="s">
        <v>5989</v>
      </c>
      <c r="F1925">
        <v>0</v>
      </c>
      <c r="G1925" t="s">
        <v>5990</v>
      </c>
      <c r="H1925" t="s">
        <v>5991</v>
      </c>
      <c r="I1925" t="s">
        <v>5992</v>
      </c>
    </row>
    <row r="1926" spans="3:9" x14ac:dyDescent="0.55000000000000004">
      <c r="C1926" s="7"/>
      <c r="E1926" t="s">
        <v>5993</v>
      </c>
      <c r="F1926">
        <v>0</v>
      </c>
      <c r="G1926" t="s">
        <v>5994</v>
      </c>
      <c r="H1926" t="s">
        <v>5995</v>
      </c>
      <c r="I1926" t="s">
        <v>5996</v>
      </c>
    </row>
    <row r="1927" spans="3:9" x14ac:dyDescent="0.55000000000000004">
      <c r="C1927" s="7"/>
      <c r="E1927" t="s">
        <v>5997</v>
      </c>
      <c r="F1927">
        <v>0</v>
      </c>
      <c r="G1927" t="s">
        <v>5998</v>
      </c>
      <c r="H1927" t="s">
        <v>5999</v>
      </c>
      <c r="I1927" t="s">
        <v>6000</v>
      </c>
    </row>
    <row r="1928" spans="3:9" x14ac:dyDescent="0.55000000000000004">
      <c r="C1928" s="7"/>
      <c r="E1928" t="s">
        <v>6010</v>
      </c>
      <c r="F1928">
        <v>0</v>
      </c>
      <c r="G1928" t="s">
        <v>6011</v>
      </c>
      <c r="H1928" t="s">
        <v>6012</v>
      </c>
      <c r="I1928" t="s">
        <v>6013</v>
      </c>
    </row>
    <row r="1929" spans="3:9" x14ac:dyDescent="0.55000000000000004">
      <c r="C1929" s="7"/>
      <c r="E1929" t="s">
        <v>6014</v>
      </c>
      <c r="F1929">
        <v>0</v>
      </c>
      <c r="G1929" t="s">
        <v>6015</v>
      </c>
      <c r="H1929" t="s">
        <v>6016</v>
      </c>
      <c r="I1929" t="s">
        <v>6017</v>
      </c>
    </row>
    <row r="1930" spans="3:9" x14ac:dyDescent="0.55000000000000004">
      <c r="C1930" s="7"/>
      <c r="E1930" t="s">
        <v>6018</v>
      </c>
      <c r="F1930">
        <v>0</v>
      </c>
      <c r="G1930" t="s">
        <v>6001</v>
      </c>
      <c r="H1930" t="s">
        <v>6019</v>
      </c>
      <c r="I1930" t="s">
        <v>6020</v>
      </c>
    </row>
    <row r="1931" spans="3:9" x14ac:dyDescent="0.55000000000000004">
      <c r="C1931" s="7"/>
      <c r="E1931" t="s">
        <v>6024</v>
      </c>
      <c r="F1931">
        <v>0</v>
      </c>
      <c r="G1931" t="s">
        <v>6025</v>
      </c>
      <c r="H1931" t="s">
        <v>6026</v>
      </c>
      <c r="I1931" t="s">
        <v>6027</v>
      </c>
    </row>
    <row r="1932" spans="3:9" x14ac:dyDescent="0.55000000000000004">
      <c r="C1932" s="7"/>
      <c r="E1932" t="s">
        <v>6036</v>
      </c>
      <c r="F1932">
        <v>0</v>
      </c>
      <c r="G1932" t="s">
        <v>6037</v>
      </c>
      <c r="H1932" t="s">
        <v>6038</v>
      </c>
      <c r="I1932" t="s">
        <v>6039</v>
      </c>
    </row>
    <row r="1933" spans="3:9" x14ac:dyDescent="0.55000000000000004">
      <c r="C1933" s="7"/>
      <c r="E1933" t="s">
        <v>6040</v>
      </c>
      <c r="F1933">
        <v>0</v>
      </c>
      <c r="G1933" t="s">
        <v>6041</v>
      </c>
      <c r="H1933" t="s">
        <v>6042</v>
      </c>
      <c r="I1933" t="s">
        <v>6043</v>
      </c>
    </row>
    <row r="1934" spans="3:9" x14ac:dyDescent="0.55000000000000004">
      <c r="C1934" s="7"/>
      <c r="E1934" t="s">
        <v>6044</v>
      </c>
      <c r="F1934">
        <v>0</v>
      </c>
      <c r="G1934" t="s">
        <v>6045</v>
      </c>
      <c r="H1934" t="s">
        <v>6046</v>
      </c>
      <c r="I1934" t="s">
        <v>6047</v>
      </c>
    </row>
    <row r="1935" spans="3:9" x14ac:dyDescent="0.55000000000000004">
      <c r="C1935" s="7"/>
      <c r="E1935" t="s">
        <v>6048</v>
      </c>
      <c r="F1935">
        <v>0</v>
      </c>
      <c r="G1935" t="s">
        <v>6049</v>
      </c>
      <c r="H1935" t="s">
        <v>6050</v>
      </c>
      <c r="I1935" t="s">
        <v>6051</v>
      </c>
    </row>
    <row r="1936" spans="3:9" x14ac:dyDescent="0.55000000000000004">
      <c r="C1936" s="7"/>
      <c r="E1936" t="s">
        <v>6052</v>
      </c>
      <c r="F1936">
        <v>0</v>
      </c>
      <c r="G1936" t="s">
        <v>6053</v>
      </c>
      <c r="H1936" t="s">
        <v>6054</v>
      </c>
      <c r="I1936" t="s">
        <v>6055</v>
      </c>
    </row>
    <row r="1937" spans="3:9" x14ac:dyDescent="0.55000000000000004">
      <c r="C1937" s="7"/>
      <c r="E1937" t="s">
        <v>6056</v>
      </c>
      <c r="F1937">
        <v>0</v>
      </c>
      <c r="G1937" t="s">
        <v>6057</v>
      </c>
      <c r="H1937" t="s">
        <v>6058</v>
      </c>
      <c r="I1937" t="s">
        <v>6059</v>
      </c>
    </row>
    <row r="1938" spans="3:9" x14ac:dyDescent="0.55000000000000004">
      <c r="C1938" s="7"/>
      <c r="E1938" t="s">
        <v>6060</v>
      </c>
      <c r="F1938">
        <v>0</v>
      </c>
      <c r="G1938" t="s">
        <v>6061</v>
      </c>
      <c r="H1938" t="s">
        <v>6062</v>
      </c>
      <c r="I1938" t="s">
        <v>6063</v>
      </c>
    </row>
    <row r="1939" spans="3:9" x14ac:dyDescent="0.55000000000000004">
      <c r="C1939" s="7"/>
      <c r="E1939" t="s">
        <v>6064</v>
      </c>
      <c r="F1939">
        <v>0</v>
      </c>
      <c r="G1939" t="s">
        <v>6065</v>
      </c>
      <c r="H1939" t="s">
        <v>6066</v>
      </c>
      <c r="I1939" t="s">
        <v>6067</v>
      </c>
    </row>
    <row r="1940" spans="3:9" x14ac:dyDescent="0.55000000000000004">
      <c r="C1940" s="7"/>
      <c r="E1940" t="s">
        <v>6081</v>
      </c>
      <c r="F1940">
        <v>1</v>
      </c>
      <c r="G1940" t="s">
        <v>6082</v>
      </c>
      <c r="H1940" t="s">
        <v>6083</v>
      </c>
      <c r="I1940" t="s">
        <v>6077</v>
      </c>
    </row>
    <row r="1941" spans="3:9" x14ac:dyDescent="0.55000000000000004">
      <c r="C1941" s="7"/>
      <c r="E1941" t="s">
        <v>6084</v>
      </c>
      <c r="F1941">
        <v>2</v>
      </c>
      <c r="G1941" t="s">
        <v>6085</v>
      </c>
      <c r="H1941" t="s">
        <v>6083</v>
      </c>
      <c r="I1941" t="s">
        <v>6077</v>
      </c>
    </row>
    <row r="1942" spans="3:9" x14ac:dyDescent="0.55000000000000004">
      <c r="C1942" s="7"/>
      <c r="E1942" t="s">
        <v>6086</v>
      </c>
      <c r="F1942">
        <v>3</v>
      </c>
      <c r="G1942" t="s">
        <v>6087</v>
      </c>
      <c r="H1942" t="s">
        <v>6083</v>
      </c>
      <c r="I1942" t="s">
        <v>6077</v>
      </c>
    </row>
    <row r="1943" spans="3:9" x14ac:dyDescent="0.55000000000000004">
      <c r="C1943" s="7"/>
      <c r="E1943" t="s">
        <v>6088</v>
      </c>
      <c r="F1943">
        <v>4</v>
      </c>
      <c r="G1943" t="s">
        <v>6089</v>
      </c>
      <c r="H1943" t="s">
        <v>6083</v>
      </c>
      <c r="I1943" t="s">
        <v>6077</v>
      </c>
    </row>
    <row r="1944" spans="3:9" x14ac:dyDescent="0.55000000000000004">
      <c r="C1944" s="7"/>
      <c r="E1944" t="s">
        <v>6090</v>
      </c>
      <c r="F1944">
        <v>5</v>
      </c>
      <c r="G1944" t="s">
        <v>6091</v>
      </c>
      <c r="H1944" t="s">
        <v>6083</v>
      </c>
      <c r="I1944" t="s">
        <v>6077</v>
      </c>
    </row>
    <row r="1945" spans="3:9" x14ac:dyDescent="0.55000000000000004">
      <c r="C1945" s="7"/>
      <c r="E1945" t="s">
        <v>6092</v>
      </c>
      <c r="F1945">
        <v>6</v>
      </c>
      <c r="G1945" t="s">
        <v>6093</v>
      </c>
      <c r="H1945" t="s">
        <v>6083</v>
      </c>
      <c r="I1945" t="s">
        <v>6077</v>
      </c>
    </row>
    <row r="1946" spans="3:9" x14ac:dyDescent="0.55000000000000004">
      <c r="C1946" s="7"/>
      <c r="E1946" t="s">
        <v>6094</v>
      </c>
      <c r="F1946">
        <v>7</v>
      </c>
      <c r="G1946" t="s">
        <v>6095</v>
      </c>
      <c r="H1946" t="s">
        <v>6083</v>
      </c>
      <c r="I1946" t="s">
        <v>6077</v>
      </c>
    </row>
    <row r="1947" spans="3:9" x14ac:dyDescent="0.55000000000000004">
      <c r="C1947" s="7"/>
      <c r="E1947" t="s">
        <v>6096</v>
      </c>
      <c r="F1947">
        <v>8</v>
      </c>
      <c r="G1947" t="s">
        <v>6097</v>
      </c>
      <c r="H1947" t="s">
        <v>6083</v>
      </c>
      <c r="I1947" t="s">
        <v>6077</v>
      </c>
    </row>
    <row r="1948" spans="3:9" x14ac:dyDescent="0.55000000000000004">
      <c r="C1948" s="7"/>
      <c r="E1948" t="s">
        <v>6098</v>
      </c>
      <c r="F1948">
        <v>9</v>
      </c>
      <c r="G1948" t="s">
        <v>6099</v>
      </c>
      <c r="H1948" t="s">
        <v>6083</v>
      </c>
      <c r="I1948" t="s">
        <v>6077</v>
      </c>
    </row>
    <row r="1949" spans="3:9" x14ac:dyDescent="0.55000000000000004">
      <c r="C1949" s="7"/>
      <c r="E1949" t="s">
        <v>6100</v>
      </c>
      <c r="F1949">
        <v>10</v>
      </c>
      <c r="G1949" t="s">
        <v>6101</v>
      </c>
      <c r="H1949" t="s">
        <v>6083</v>
      </c>
      <c r="I1949" t="s">
        <v>6077</v>
      </c>
    </row>
    <row r="1950" spans="3:9" x14ac:dyDescent="0.55000000000000004">
      <c r="C1950" s="7"/>
      <c r="E1950" t="s">
        <v>6102</v>
      </c>
      <c r="F1950">
        <v>11</v>
      </c>
      <c r="G1950" t="s">
        <v>6103</v>
      </c>
      <c r="H1950" t="s">
        <v>6083</v>
      </c>
      <c r="I1950" t="s">
        <v>6077</v>
      </c>
    </row>
    <row r="1951" spans="3:9" x14ac:dyDescent="0.55000000000000004">
      <c r="C1951" s="7"/>
      <c r="E1951" t="s">
        <v>6104</v>
      </c>
      <c r="F1951">
        <v>13</v>
      </c>
      <c r="G1951" t="s">
        <v>6105</v>
      </c>
      <c r="H1951" t="s">
        <v>6083</v>
      </c>
      <c r="I1951" t="s">
        <v>6077</v>
      </c>
    </row>
    <row r="1952" spans="3:9" x14ac:dyDescent="0.55000000000000004">
      <c r="C1952" s="7"/>
      <c r="E1952" t="s">
        <v>6106</v>
      </c>
      <c r="F1952">
        <v>14</v>
      </c>
      <c r="G1952" t="s">
        <v>6107</v>
      </c>
      <c r="H1952" t="s">
        <v>6083</v>
      </c>
      <c r="I1952" t="s">
        <v>6077</v>
      </c>
    </row>
    <row r="1953" spans="3:9" x14ac:dyDescent="0.55000000000000004">
      <c r="C1953" s="7"/>
      <c r="E1953" t="s">
        <v>6108</v>
      </c>
      <c r="F1953">
        <v>15</v>
      </c>
      <c r="G1953" t="s">
        <v>6109</v>
      </c>
      <c r="H1953" t="s">
        <v>6083</v>
      </c>
      <c r="I1953" t="s">
        <v>6077</v>
      </c>
    </row>
    <row r="1954" spans="3:9" x14ac:dyDescent="0.55000000000000004">
      <c r="C1954" s="7"/>
      <c r="E1954" t="s">
        <v>6110</v>
      </c>
      <c r="F1954">
        <v>16</v>
      </c>
      <c r="G1954" t="s">
        <v>6111</v>
      </c>
      <c r="H1954" t="s">
        <v>6083</v>
      </c>
      <c r="I1954" t="s">
        <v>6077</v>
      </c>
    </row>
    <row r="1955" spans="3:9" x14ac:dyDescent="0.55000000000000004">
      <c r="C1955" s="7"/>
      <c r="E1955" t="s">
        <v>6112</v>
      </c>
      <c r="F1955">
        <v>17</v>
      </c>
      <c r="G1955" t="s">
        <v>6113</v>
      </c>
      <c r="H1955" t="s">
        <v>6083</v>
      </c>
      <c r="I1955" t="s">
        <v>6077</v>
      </c>
    </row>
    <row r="1956" spans="3:9" x14ac:dyDescent="0.55000000000000004">
      <c r="C1956" s="7"/>
      <c r="E1956" t="s">
        <v>6114</v>
      </c>
      <c r="F1956">
        <v>19</v>
      </c>
      <c r="G1956" t="s">
        <v>6115</v>
      </c>
      <c r="H1956" t="s">
        <v>6083</v>
      </c>
      <c r="I1956" t="s">
        <v>6077</v>
      </c>
    </row>
    <row r="1957" spans="3:9" x14ac:dyDescent="0.55000000000000004">
      <c r="C1957" s="7"/>
      <c r="E1957" t="s">
        <v>6116</v>
      </c>
      <c r="F1957">
        <v>20</v>
      </c>
      <c r="G1957" t="s">
        <v>6117</v>
      </c>
      <c r="H1957" t="s">
        <v>6083</v>
      </c>
      <c r="I1957" t="s">
        <v>6077</v>
      </c>
    </row>
    <row r="1958" spans="3:9" x14ac:dyDescent="0.55000000000000004">
      <c r="C1958" s="7"/>
      <c r="E1958" t="s">
        <v>6118</v>
      </c>
      <c r="F1958">
        <v>21</v>
      </c>
      <c r="G1958" t="s">
        <v>6119</v>
      </c>
      <c r="H1958" t="s">
        <v>6083</v>
      </c>
      <c r="I1958" t="s">
        <v>6077</v>
      </c>
    </row>
    <row r="1959" spans="3:9" x14ac:dyDescent="0.55000000000000004">
      <c r="C1959" s="7"/>
      <c r="E1959" t="s">
        <v>6120</v>
      </c>
      <c r="F1959">
        <v>22</v>
      </c>
      <c r="G1959" t="s">
        <v>6121</v>
      </c>
      <c r="H1959" t="s">
        <v>6083</v>
      </c>
      <c r="I1959" t="s">
        <v>6077</v>
      </c>
    </row>
    <row r="1960" spans="3:9" x14ac:dyDescent="0.55000000000000004">
      <c r="C1960" s="7"/>
      <c r="E1960" t="s">
        <v>6122</v>
      </c>
      <c r="F1960">
        <v>23</v>
      </c>
      <c r="G1960" t="s">
        <v>6123</v>
      </c>
      <c r="H1960" t="s">
        <v>6083</v>
      </c>
      <c r="I1960" t="s">
        <v>6077</v>
      </c>
    </row>
    <row r="1961" spans="3:9" x14ac:dyDescent="0.55000000000000004">
      <c r="C1961" s="7"/>
      <c r="E1961" t="s">
        <v>6124</v>
      </c>
      <c r="F1961">
        <v>24</v>
      </c>
      <c r="G1961" t="s">
        <v>6125</v>
      </c>
      <c r="H1961" t="s">
        <v>6083</v>
      </c>
      <c r="I1961" t="s">
        <v>6077</v>
      </c>
    </row>
    <row r="1962" spans="3:9" x14ac:dyDescent="0.55000000000000004">
      <c r="C1962" s="7"/>
      <c r="E1962" t="s">
        <v>6126</v>
      </c>
      <c r="F1962">
        <v>25</v>
      </c>
      <c r="G1962" t="s">
        <v>6127</v>
      </c>
      <c r="H1962" t="s">
        <v>6083</v>
      </c>
      <c r="I1962" t="s">
        <v>6077</v>
      </c>
    </row>
    <row r="1963" spans="3:9" x14ac:dyDescent="0.55000000000000004">
      <c r="C1963" s="7"/>
      <c r="E1963" t="s">
        <v>6128</v>
      </c>
      <c r="F1963">
        <v>28</v>
      </c>
      <c r="G1963" t="s">
        <v>6107</v>
      </c>
      <c r="H1963" t="s">
        <v>6083</v>
      </c>
      <c r="I1963" t="s">
        <v>6077</v>
      </c>
    </row>
    <row r="1964" spans="3:9" x14ac:dyDescent="0.55000000000000004">
      <c r="C1964" s="7"/>
      <c r="E1964" t="s">
        <v>6129</v>
      </c>
      <c r="F1964">
        <v>30</v>
      </c>
      <c r="G1964" t="s">
        <v>6130</v>
      </c>
      <c r="H1964" t="s">
        <v>6083</v>
      </c>
      <c r="I1964" t="s">
        <v>6077</v>
      </c>
    </row>
    <row r="1965" spans="3:9" x14ac:dyDescent="0.55000000000000004">
      <c r="C1965" s="7"/>
      <c r="E1965" t="s">
        <v>6131</v>
      </c>
      <c r="F1965">
        <v>31</v>
      </c>
      <c r="G1965" t="s">
        <v>6132</v>
      </c>
      <c r="H1965" t="s">
        <v>6083</v>
      </c>
      <c r="I1965" t="s">
        <v>6077</v>
      </c>
    </row>
    <row r="1966" spans="3:9" x14ac:dyDescent="0.55000000000000004">
      <c r="C1966" s="7"/>
      <c r="E1966" t="s">
        <v>6133</v>
      </c>
      <c r="F1966">
        <v>32</v>
      </c>
      <c r="G1966" t="s">
        <v>6134</v>
      </c>
      <c r="H1966" t="s">
        <v>6083</v>
      </c>
      <c r="I1966" t="s">
        <v>6077</v>
      </c>
    </row>
    <row r="1967" spans="3:9" x14ac:dyDescent="0.55000000000000004">
      <c r="C1967" s="7"/>
      <c r="E1967" t="s">
        <v>6135</v>
      </c>
      <c r="F1967">
        <v>33</v>
      </c>
      <c r="G1967" t="s">
        <v>6136</v>
      </c>
      <c r="H1967" t="s">
        <v>6083</v>
      </c>
      <c r="I1967" t="s">
        <v>6077</v>
      </c>
    </row>
    <row r="1968" spans="3:9" x14ac:dyDescent="0.55000000000000004">
      <c r="C1968" s="7"/>
      <c r="E1968" t="s">
        <v>6137</v>
      </c>
      <c r="F1968">
        <v>34</v>
      </c>
      <c r="G1968" t="s">
        <v>6138</v>
      </c>
      <c r="H1968" t="s">
        <v>6083</v>
      </c>
      <c r="I1968" t="s">
        <v>6077</v>
      </c>
    </row>
    <row r="1969" spans="3:9" x14ac:dyDescent="0.55000000000000004">
      <c r="C1969" s="7"/>
      <c r="E1969" t="s">
        <v>6139</v>
      </c>
      <c r="F1969">
        <v>35</v>
      </c>
      <c r="G1969" t="s">
        <v>1047</v>
      </c>
      <c r="H1969" t="s">
        <v>6083</v>
      </c>
      <c r="I1969" t="s">
        <v>6077</v>
      </c>
    </row>
    <row r="1970" spans="3:9" x14ac:dyDescent="0.55000000000000004">
      <c r="C1970" s="7"/>
      <c r="E1970" t="s">
        <v>6140</v>
      </c>
      <c r="F1970">
        <v>36</v>
      </c>
      <c r="G1970" t="s">
        <v>6141</v>
      </c>
      <c r="H1970" t="s">
        <v>6083</v>
      </c>
      <c r="I1970" t="s">
        <v>6077</v>
      </c>
    </row>
    <row r="1971" spans="3:9" x14ac:dyDescent="0.55000000000000004">
      <c r="C1971" s="7"/>
      <c r="E1971" t="s">
        <v>6142</v>
      </c>
      <c r="F1971">
        <v>37</v>
      </c>
      <c r="G1971" t="s">
        <v>6143</v>
      </c>
      <c r="H1971" t="s">
        <v>6083</v>
      </c>
      <c r="I1971" t="s">
        <v>6077</v>
      </c>
    </row>
    <row r="1972" spans="3:9" x14ac:dyDescent="0.55000000000000004">
      <c r="C1972" s="7"/>
      <c r="E1972" t="s">
        <v>6144</v>
      </c>
      <c r="F1972">
        <v>38</v>
      </c>
      <c r="G1972" t="s">
        <v>6145</v>
      </c>
      <c r="H1972" t="s">
        <v>6083</v>
      </c>
      <c r="I1972" t="s">
        <v>6077</v>
      </c>
    </row>
    <row r="1973" spans="3:9" x14ac:dyDescent="0.55000000000000004">
      <c r="C1973" s="7"/>
      <c r="E1973" t="s">
        <v>6146</v>
      </c>
      <c r="F1973">
        <v>39</v>
      </c>
      <c r="G1973" t="s">
        <v>6147</v>
      </c>
      <c r="H1973" t="s">
        <v>6083</v>
      </c>
      <c r="I1973" t="s">
        <v>6077</v>
      </c>
    </row>
    <row r="1974" spans="3:9" x14ac:dyDescent="0.55000000000000004">
      <c r="C1974" s="7"/>
      <c r="E1974" t="s">
        <v>6148</v>
      </c>
      <c r="F1974">
        <v>40</v>
      </c>
      <c r="G1974" t="s">
        <v>6149</v>
      </c>
      <c r="H1974" t="s">
        <v>6083</v>
      </c>
      <c r="I1974" t="s">
        <v>6077</v>
      </c>
    </row>
    <row r="1975" spans="3:9" x14ac:dyDescent="0.55000000000000004">
      <c r="C1975" s="7"/>
      <c r="E1975" t="s">
        <v>6150</v>
      </c>
      <c r="F1975">
        <v>999</v>
      </c>
      <c r="G1975" t="s">
        <v>135</v>
      </c>
      <c r="H1975" t="s">
        <v>6083</v>
      </c>
      <c r="I1975" t="s">
        <v>6077</v>
      </c>
    </row>
    <row r="1976" spans="3:9" x14ac:dyDescent="0.55000000000000004">
      <c r="C1976" s="7"/>
      <c r="E1976" t="s">
        <v>6155</v>
      </c>
      <c r="F1976">
        <v>0</v>
      </c>
      <c r="G1976" t="s">
        <v>6156</v>
      </c>
      <c r="H1976" t="s">
        <v>6157</v>
      </c>
      <c r="I1976" t="s">
        <v>6158</v>
      </c>
    </row>
    <row r="1977" spans="3:9" x14ac:dyDescent="0.55000000000000004">
      <c r="C1977" s="14"/>
      <c r="E1977" t="s">
        <v>6163</v>
      </c>
      <c r="F1977">
        <v>0</v>
      </c>
      <c r="G1977" t="s">
        <v>6164</v>
      </c>
      <c r="H1977" t="s">
        <v>6165</v>
      </c>
      <c r="I1977" t="s">
        <v>6166</v>
      </c>
    </row>
    <row r="1978" spans="3:9" x14ac:dyDescent="0.55000000000000004">
      <c r="C1978" s="14"/>
      <c r="E1978" t="s">
        <v>6167</v>
      </c>
      <c r="F1978">
        <v>0</v>
      </c>
      <c r="G1978" t="s">
        <v>6168</v>
      </c>
      <c r="H1978" t="s">
        <v>6169</v>
      </c>
      <c r="I1978" t="s">
        <v>6170</v>
      </c>
    </row>
    <row r="1979" spans="3:9" x14ac:dyDescent="0.55000000000000004">
      <c r="C1979" s="14"/>
      <c r="E1979" t="s">
        <v>6171</v>
      </c>
      <c r="F1979">
        <v>0</v>
      </c>
      <c r="G1979" t="s">
        <v>6172</v>
      </c>
      <c r="H1979" t="s">
        <v>6173</v>
      </c>
      <c r="I1979" t="s">
        <v>6174</v>
      </c>
    </row>
    <row r="1980" spans="3:9" x14ac:dyDescent="0.55000000000000004">
      <c r="C1980" s="14"/>
      <c r="E1980" t="s">
        <v>6175</v>
      </c>
      <c r="F1980">
        <v>0</v>
      </c>
      <c r="G1980" t="s">
        <v>6176</v>
      </c>
      <c r="H1980" t="s">
        <v>6177</v>
      </c>
      <c r="I1980" t="s">
        <v>6178</v>
      </c>
    </row>
    <row r="1981" spans="3:9" x14ac:dyDescent="0.55000000000000004">
      <c r="C1981" s="14"/>
      <c r="E1981" t="s">
        <v>6179</v>
      </c>
      <c r="F1981">
        <v>0</v>
      </c>
      <c r="G1981" t="s">
        <v>6180</v>
      </c>
      <c r="H1981" t="s">
        <v>6181</v>
      </c>
      <c r="I1981" t="s">
        <v>6182</v>
      </c>
    </row>
    <row r="1982" spans="3:9" x14ac:dyDescent="0.55000000000000004">
      <c r="C1982" s="14"/>
      <c r="E1982" t="s">
        <v>6183</v>
      </c>
      <c r="F1982">
        <v>0</v>
      </c>
      <c r="G1982" t="s">
        <v>6184</v>
      </c>
      <c r="H1982" t="s">
        <v>6185</v>
      </c>
      <c r="I1982" t="s">
        <v>6186</v>
      </c>
    </row>
    <row r="1983" spans="3:9" x14ac:dyDescent="0.55000000000000004">
      <c r="C1983" s="14"/>
      <c r="E1983" t="s">
        <v>6187</v>
      </c>
      <c r="F1983">
        <v>0</v>
      </c>
      <c r="G1983" t="s">
        <v>6188</v>
      </c>
      <c r="H1983" t="s">
        <v>6189</v>
      </c>
      <c r="I1983" t="s">
        <v>6190</v>
      </c>
    </row>
    <row r="1984" spans="3:9" x14ac:dyDescent="0.55000000000000004">
      <c r="C1984" s="14"/>
      <c r="E1984" t="s">
        <v>6191</v>
      </c>
      <c r="F1984">
        <v>0</v>
      </c>
      <c r="G1984" t="s">
        <v>6192</v>
      </c>
      <c r="H1984" t="s">
        <v>6193</v>
      </c>
      <c r="I1984" t="s">
        <v>6194</v>
      </c>
    </row>
    <row r="1985" spans="3:9" x14ac:dyDescent="0.55000000000000004">
      <c r="C1985" s="14"/>
      <c r="E1985" t="s">
        <v>6195</v>
      </c>
      <c r="F1985">
        <v>0</v>
      </c>
      <c r="G1985" t="s">
        <v>6196</v>
      </c>
      <c r="H1985" t="s">
        <v>6197</v>
      </c>
      <c r="I1985" t="s">
        <v>6198</v>
      </c>
    </row>
    <row r="1986" spans="3:9" x14ac:dyDescent="0.55000000000000004">
      <c r="C1986" s="14"/>
      <c r="E1986" t="s">
        <v>6199</v>
      </c>
      <c r="F1986">
        <v>0</v>
      </c>
      <c r="G1986" t="s">
        <v>6200</v>
      </c>
      <c r="H1986" t="s">
        <v>6201</v>
      </c>
      <c r="I1986" t="s">
        <v>6202</v>
      </c>
    </row>
    <row r="1987" spans="3:9" x14ac:dyDescent="0.55000000000000004">
      <c r="C1987" s="14"/>
      <c r="E1987" t="s">
        <v>6203</v>
      </c>
      <c r="F1987">
        <v>0</v>
      </c>
      <c r="G1987" t="s">
        <v>6204</v>
      </c>
      <c r="H1987" t="s">
        <v>6205</v>
      </c>
      <c r="I1987" t="s">
        <v>6206</v>
      </c>
    </row>
    <row r="1988" spans="3:9" x14ac:dyDescent="0.55000000000000004">
      <c r="C1988" s="14"/>
      <c r="E1988" t="s">
        <v>6207</v>
      </c>
      <c r="F1988">
        <v>0</v>
      </c>
      <c r="G1988" t="s">
        <v>6208</v>
      </c>
      <c r="H1988" t="s">
        <v>6209</v>
      </c>
      <c r="I1988" t="s">
        <v>6210</v>
      </c>
    </row>
    <row r="1989" spans="3:9" x14ac:dyDescent="0.55000000000000004">
      <c r="C1989" s="14"/>
      <c r="E1989" t="s">
        <v>6211</v>
      </c>
      <c r="F1989">
        <v>0</v>
      </c>
      <c r="G1989" t="s">
        <v>6212</v>
      </c>
      <c r="H1989" t="s">
        <v>6213</v>
      </c>
      <c r="I1989" t="s">
        <v>6214</v>
      </c>
    </row>
    <row r="1990" spans="3:9" x14ac:dyDescent="0.55000000000000004">
      <c r="C1990" s="14"/>
      <c r="E1990" t="s">
        <v>6215</v>
      </c>
      <c r="F1990">
        <v>0</v>
      </c>
      <c r="G1990" t="s">
        <v>6216</v>
      </c>
      <c r="H1990" t="s">
        <v>6217</v>
      </c>
      <c r="I1990" t="s">
        <v>6218</v>
      </c>
    </row>
    <row r="1991" spans="3:9" x14ac:dyDescent="0.55000000000000004">
      <c r="C1991" s="14"/>
      <c r="E1991" t="s">
        <v>6219</v>
      </c>
      <c r="F1991">
        <v>0</v>
      </c>
      <c r="G1991" t="s">
        <v>6220</v>
      </c>
      <c r="H1991" t="s">
        <v>6221</v>
      </c>
      <c r="I1991" t="s">
        <v>6222</v>
      </c>
    </row>
    <row r="1992" spans="3:9" x14ac:dyDescent="0.55000000000000004">
      <c r="C1992" s="14"/>
      <c r="E1992" t="s">
        <v>6223</v>
      </c>
      <c r="F1992">
        <v>0</v>
      </c>
      <c r="G1992" t="s">
        <v>6224</v>
      </c>
      <c r="H1992" t="s">
        <v>6225</v>
      </c>
      <c r="I1992" t="s">
        <v>6226</v>
      </c>
    </row>
    <row r="1993" spans="3:9" x14ac:dyDescent="0.55000000000000004">
      <c r="C1993" s="14"/>
      <c r="E1993" t="s">
        <v>6227</v>
      </c>
      <c r="F1993">
        <v>0</v>
      </c>
      <c r="G1993" t="s">
        <v>6228</v>
      </c>
      <c r="H1993" t="s">
        <v>6229</v>
      </c>
      <c r="I1993" t="s">
        <v>6230</v>
      </c>
    </row>
    <row r="1994" spans="3:9" x14ac:dyDescent="0.55000000000000004">
      <c r="C1994" s="14"/>
      <c r="E1994" t="s">
        <v>6231</v>
      </c>
      <c r="F1994">
        <v>0</v>
      </c>
      <c r="G1994" t="s">
        <v>6232</v>
      </c>
      <c r="H1994" t="s">
        <v>6233</v>
      </c>
      <c r="I1994" t="s">
        <v>6234</v>
      </c>
    </row>
    <row r="1995" spans="3:9" x14ac:dyDescent="0.55000000000000004">
      <c r="C1995" s="14"/>
      <c r="E1995" t="s">
        <v>6235</v>
      </c>
      <c r="F1995">
        <v>0</v>
      </c>
      <c r="G1995" t="s">
        <v>6236</v>
      </c>
      <c r="H1995" t="s">
        <v>6237</v>
      </c>
      <c r="I1995" t="s">
        <v>6238</v>
      </c>
    </row>
    <row r="1996" spans="3:9" x14ac:dyDescent="0.55000000000000004">
      <c r="C1996" s="14"/>
      <c r="E1996" t="s">
        <v>6239</v>
      </c>
      <c r="F1996">
        <v>0</v>
      </c>
      <c r="G1996" t="s">
        <v>6240</v>
      </c>
      <c r="H1996" t="s">
        <v>6241</v>
      </c>
      <c r="I1996" t="s">
        <v>6242</v>
      </c>
    </row>
    <row r="1997" spans="3:9" x14ac:dyDescent="0.55000000000000004">
      <c r="C1997" s="14"/>
      <c r="E1997" t="s">
        <v>6243</v>
      </c>
      <c r="F1997">
        <v>0</v>
      </c>
      <c r="G1997" t="s">
        <v>6244</v>
      </c>
      <c r="H1997" t="s">
        <v>6245</v>
      </c>
      <c r="I1997" t="s">
        <v>6246</v>
      </c>
    </row>
    <row r="1998" spans="3:9" x14ac:dyDescent="0.55000000000000004">
      <c r="C1998" s="14"/>
      <c r="E1998" t="s">
        <v>6247</v>
      </c>
      <c r="F1998">
        <v>0</v>
      </c>
      <c r="G1998" t="s">
        <v>6248</v>
      </c>
      <c r="H1998" t="s">
        <v>6249</v>
      </c>
      <c r="I1998" t="s">
        <v>6250</v>
      </c>
    </row>
    <row r="1999" spans="3:9" x14ac:dyDescent="0.55000000000000004">
      <c r="C1999" s="14"/>
      <c r="E1999" t="s">
        <v>6251</v>
      </c>
      <c r="F1999">
        <v>0</v>
      </c>
      <c r="G1999" t="s">
        <v>6252</v>
      </c>
      <c r="H1999" t="s">
        <v>6253</v>
      </c>
      <c r="I1999" t="s">
        <v>6254</v>
      </c>
    </row>
    <row r="2000" spans="3:9" x14ac:dyDescent="0.55000000000000004">
      <c r="C2000" s="14"/>
      <c r="E2000" t="s">
        <v>6255</v>
      </c>
      <c r="F2000">
        <v>0</v>
      </c>
      <c r="G2000" t="s">
        <v>6256</v>
      </c>
      <c r="H2000" t="s">
        <v>6257</v>
      </c>
      <c r="I2000" t="s">
        <v>6258</v>
      </c>
    </row>
    <row r="2001" spans="2:9" x14ac:dyDescent="0.55000000000000004">
      <c r="C2001" s="14"/>
      <c r="E2001" t="s">
        <v>6259</v>
      </c>
      <c r="F2001">
        <v>0</v>
      </c>
      <c r="G2001" t="s">
        <v>6260</v>
      </c>
      <c r="H2001" t="s">
        <v>6261</v>
      </c>
      <c r="I2001" t="s">
        <v>6262</v>
      </c>
    </row>
    <row r="2002" spans="2:9" x14ac:dyDescent="0.55000000000000004">
      <c r="C2002" s="14"/>
      <c r="E2002" t="s">
        <v>6263</v>
      </c>
      <c r="F2002">
        <v>0</v>
      </c>
      <c r="G2002" t="s">
        <v>6264</v>
      </c>
      <c r="H2002" t="s">
        <v>6265</v>
      </c>
      <c r="I2002" t="s">
        <v>6266</v>
      </c>
    </row>
    <row r="2003" spans="2:9" x14ac:dyDescent="0.55000000000000004">
      <c r="B2003" s="9"/>
      <c r="C2003" s="8"/>
      <c r="D2003" s="9"/>
      <c r="E2003" t="s">
        <v>6271</v>
      </c>
      <c r="F2003">
        <v>0</v>
      </c>
      <c r="G2003" t="s">
        <v>6272</v>
      </c>
      <c r="H2003" t="s">
        <v>6273</v>
      </c>
      <c r="I2003" t="s">
        <v>6274</v>
      </c>
    </row>
    <row r="2004" spans="2:9" x14ac:dyDescent="0.55000000000000004">
      <c r="B2004" s="9"/>
      <c r="C2004" s="8"/>
      <c r="D2004" s="9"/>
      <c r="E2004" t="s">
        <v>6275</v>
      </c>
      <c r="F2004">
        <v>0</v>
      </c>
      <c r="G2004" t="s">
        <v>6276</v>
      </c>
      <c r="H2004" t="s">
        <v>6277</v>
      </c>
      <c r="I2004" t="s">
        <v>6278</v>
      </c>
    </row>
    <row r="2005" spans="2:9" x14ac:dyDescent="0.55000000000000004">
      <c r="B2005" s="9"/>
      <c r="C2005" s="8"/>
      <c r="D2005" s="9"/>
      <c r="E2005" t="s">
        <v>6279</v>
      </c>
      <c r="F2005">
        <v>0</v>
      </c>
      <c r="G2005" t="s">
        <v>6280</v>
      </c>
      <c r="H2005" t="s">
        <v>6281</v>
      </c>
      <c r="I2005" t="s">
        <v>6282</v>
      </c>
    </row>
    <row r="2006" spans="2:9" x14ac:dyDescent="0.55000000000000004">
      <c r="B2006" s="9"/>
      <c r="C2006" s="8"/>
      <c r="D2006" s="9"/>
      <c r="E2006" t="s">
        <v>6283</v>
      </c>
      <c r="F2006">
        <v>0</v>
      </c>
      <c r="G2006" t="s">
        <v>6284</v>
      </c>
      <c r="H2006" t="s">
        <v>6285</v>
      </c>
      <c r="I2006" t="s">
        <v>6286</v>
      </c>
    </row>
    <row r="2007" spans="2:9" x14ac:dyDescent="0.55000000000000004">
      <c r="B2007" s="9"/>
      <c r="C2007" s="8"/>
      <c r="D2007" s="9"/>
      <c r="E2007" t="s">
        <v>6287</v>
      </c>
      <c r="F2007">
        <v>0</v>
      </c>
      <c r="G2007" t="s">
        <v>6288</v>
      </c>
      <c r="H2007" t="s">
        <v>6289</v>
      </c>
      <c r="I2007" t="s">
        <v>6290</v>
      </c>
    </row>
    <row r="2008" spans="2:9" x14ac:dyDescent="0.55000000000000004">
      <c r="B2008" s="9"/>
      <c r="C2008" s="8"/>
      <c r="D2008" s="9"/>
      <c r="E2008" t="s">
        <v>6291</v>
      </c>
      <c r="F2008">
        <v>0</v>
      </c>
      <c r="G2008" t="s">
        <v>6292</v>
      </c>
      <c r="H2008" t="s">
        <v>6293</v>
      </c>
      <c r="I2008" t="s">
        <v>6294</v>
      </c>
    </row>
    <row r="2009" spans="2:9" x14ac:dyDescent="0.55000000000000004">
      <c r="E2009" t="s">
        <v>6295</v>
      </c>
      <c r="F2009">
        <v>0</v>
      </c>
      <c r="G2009" t="s">
        <v>6296</v>
      </c>
      <c r="H2009" t="s">
        <v>6297</v>
      </c>
      <c r="I2009" t="s">
        <v>6298</v>
      </c>
    </row>
  </sheetData>
  <sortState xmlns:xlrd2="http://schemas.microsoft.com/office/spreadsheetml/2017/richdata2" ref="A2:I2009">
    <sortCondition ref="A2:A2009"/>
  </sortState>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582CA-19F4-4C7C-BFA8-889F50C2B155}">
  <dimension ref="A1:H2011"/>
  <sheetViews>
    <sheetView topLeftCell="A311" workbookViewId="0">
      <selection activeCell="A319" sqref="A319"/>
    </sheetView>
  </sheetViews>
  <sheetFormatPr defaultColWidth="22.68359375" defaultRowHeight="14.4" x14ac:dyDescent="0.55000000000000004"/>
  <cols>
    <col min="1" max="1" width="22.68359375" style="46"/>
  </cols>
  <sheetData>
    <row r="1" spans="1:8" ht="28.5" thickBot="1" x14ac:dyDescent="0.6">
      <c r="A1" s="42" t="s">
        <v>6992</v>
      </c>
      <c r="B1" s="30" t="s">
        <v>6993</v>
      </c>
      <c r="C1" s="40" t="s">
        <v>6956</v>
      </c>
      <c r="D1" s="41" t="s">
        <v>6955</v>
      </c>
      <c r="E1" s="31" t="s">
        <v>6960</v>
      </c>
      <c r="F1" s="32" t="s">
        <v>6958</v>
      </c>
      <c r="G1" s="33" t="s">
        <v>6959</v>
      </c>
      <c r="H1" s="33" t="s">
        <v>3</v>
      </c>
    </row>
    <row r="2" spans="1:8" ht="23.1" thickBot="1" x14ac:dyDescent="0.6">
      <c r="A2" s="43" t="s">
        <v>6994</v>
      </c>
      <c r="B2" s="34" t="s">
        <v>6461</v>
      </c>
      <c r="C2" s="35" t="s">
        <v>6780</v>
      </c>
      <c r="D2" s="35" t="s">
        <v>6995</v>
      </c>
      <c r="E2" s="35" t="s">
        <v>5</v>
      </c>
      <c r="F2" s="36">
        <v>0</v>
      </c>
      <c r="G2" s="35" t="s">
        <v>6</v>
      </c>
      <c r="H2" s="35" t="s">
        <v>8</v>
      </c>
    </row>
    <row r="3" spans="1:8" ht="23.1" thickBot="1" x14ac:dyDescent="0.6">
      <c r="A3" s="44"/>
      <c r="B3" s="37"/>
      <c r="C3" s="35" t="s">
        <v>6744</v>
      </c>
      <c r="D3" s="35" t="s">
        <v>6996</v>
      </c>
      <c r="E3" s="35" t="s">
        <v>5</v>
      </c>
      <c r="F3" s="36">
        <v>0</v>
      </c>
      <c r="G3" s="35" t="s">
        <v>6</v>
      </c>
      <c r="H3" s="35" t="s">
        <v>8</v>
      </c>
    </row>
    <row r="4" spans="1:8" ht="23.1" thickBot="1" x14ac:dyDescent="0.6">
      <c r="A4" s="44" t="s">
        <v>6997</v>
      </c>
      <c r="B4" s="37" t="s">
        <v>6644</v>
      </c>
      <c r="C4" s="35" t="s">
        <v>6794</v>
      </c>
      <c r="D4" s="35" t="s">
        <v>6998</v>
      </c>
      <c r="E4" s="35" t="s">
        <v>9</v>
      </c>
      <c r="F4" s="36">
        <v>0</v>
      </c>
      <c r="G4" s="35" t="s">
        <v>10</v>
      </c>
      <c r="H4" s="35" t="s">
        <v>12</v>
      </c>
    </row>
    <row r="5" spans="1:8" ht="23.1" thickBot="1" x14ac:dyDescent="0.6">
      <c r="A5" s="44"/>
      <c r="B5" s="37"/>
      <c r="C5" s="35"/>
      <c r="D5" s="35"/>
      <c r="E5" s="35" t="s">
        <v>13</v>
      </c>
      <c r="F5" s="36">
        <v>0</v>
      </c>
      <c r="G5" s="35" t="s">
        <v>14</v>
      </c>
      <c r="H5" s="35" t="s">
        <v>16</v>
      </c>
    </row>
    <row r="6" spans="1:8" ht="23.1" thickBot="1" x14ac:dyDescent="0.6">
      <c r="A6" s="44"/>
      <c r="B6" s="37"/>
      <c r="C6" s="35"/>
      <c r="D6" s="35"/>
      <c r="E6" s="35" t="s">
        <v>17</v>
      </c>
      <c r="F6" s="36">
        <v>0</v>
      </c>
      <c r="G6" s="35" t="s">
        <v>18</v>
      </c>
      <c r="H6" s="35" t="s">
        <v>20</v>
      </c>
    </row>
    <row r="7" spans="1:8" ht="23.1" thickBot="1" x14ac:dyDescent="0.6">
      <c r="A7" s="44" t="s">
        <v>6999</v>
      </c>
      <c r="B7" s="37" t="s">
        <v>6567</v>
      </c>
      <c r="C7" s="35" t="s">
        <v>6780</v>
      </c>
      <c r="D7" s="35" t="s">
        <v>7000</v>
      </c>
      <c r="E7" s="35"/>
      <c r="F7" s="36"/>
      <c r="G7" s="35"/>
      <c r="H7" s="35"/>
    </row>
    <row r="8" spans="1:8" ht="23.1" thickBot="1" x14ac:dyDescent="0.6">
      <c r="A8" s="44"/>
      <c r="B8" s="37"/>
      <c r="C8" s="35" t="s">
        <v>6744</v>
      </c>
      <c r="D8" s="35" t="s">
        <v>7001</v>
      </c>
      <c r="E8" s="35"/>
      <c r="F8" s="36"/>
      <c r="G8" s="35"/>
      <c r="H8" s="35"/>
    </row>
    <row r="9" spans="1:8" ht="23.1" thickBot="1" x14ac:dyDescent="0.6">
      <c r="A9" s="44" t="s">
        <v>7002</v>
      </c>
      <c r="B9" s="37" t="s">
        <v>6624</v>
      </c>
      <c r="C9" s="35" t="s">
        <v>6780</v>
      </c>
      <c r="D9" s="35" t="s">
        <v>7003</v>
      </c>
      <c r="E9" s="35" t="s">
        <v>21</v>
      </c>
      <c r="F9" s="36">
        <v>0</v>
      </c>
      <c r="G9" s="35" t="s">
        <v>22</v>
      </c>
      <c r="H9" s="35" t="s">
        <v>24</v>
      </c>
    </row>
    <row r="10" spans="1:8" ht="23.1" thickBot="1" x14ac:dyDescent="0.6">
      <c r="A10" s="44"/>
      <c r="B10" s="37"/>
      <c r="C10" s="35" t="s">
        <v>6744</v>
      </c>
      <c r="D10" s="35" t="s">
        <v>7004</v>
      </c>
      <c r="E10" s="35" t="s">
        <v>21</v>
      </c>
      <c r="F10" s="36">
        <v>0</v>
      </c>
      <c r="G10" s="35" t="s">
        <v>22</v>
      </c>
      <c r="H10" s="35" t="s">
        <v>24</v>
      </c>
    </row>
    <row r="11" spans="1:8" ht="14.7" thickBot="1" x14ac:dyDescent="0.6">
      <c r="A11" s="44" t="s">
        <v>7005</v>
      </c>
      <c r="B11" s="37" t="s">
        <v>6380</v>
      </c>
      <c r="C11" s="35" t="s">
        <v>6780</v>
      </c>
      <c r="D11" s="35" t="s">
        <v>7006</v>
      </c>
      <c r="E11" s="35"/>
      <c r="F11" s="36"/>
      <c r="G11" s="35"/>
      <c r="H11" s="35"/>
    </row>
    <row r="12" spans="1:8" ht="23.1" thickBot="1" x14ac:dyDescent="0.6">
      <c r="A12" s="44"/>
      <c r="B12" s="37"/>
      <c r="C12" s="35"/>
      <c r="D12" s="35"/>
      <c r="E12" s="35" t="s">
        <v>25</v>
      </c>
      <c r="F12" s="36">
        <v>0</v>
      </c>
      <c r="G12" s="35" t="s">
        <v>26</v>
      </c>
      <c r="H12" s="35" t="s">
        <v>28</v>
      </c>
    </row>
    <row r="13" spans="1:8" ht="23.1" thickBot="1" x14ac:dyDescent="0.6">
      <c r="A13" s="44"/>
      <c r="B13" s="37"/>
      <c r="C13" s="35"/>
      <c r="D13" s="35"/>
      <c r="E13" s="35" t="s">
        <v>29</v>
      </c>
      <c r="F13" s="36">
        <v>0</v>
      </c>
      <c r="G13" s="35" t="s">
        <v>30</v>
      </c>
      <c r="H13" s="35" t="s">
        <v>32</v>
      </c>
    </row>
    <row r="14" spans="1:8" ht="23.1" thickBot="1" x14ac:dyDescent="0.6">
      <c r="A14" s="44" t="s">
        <v>7007</v>
      </c>
      <c r="B14" s="37" t="s">
        <v>6516</v>
      </c>
      <c r="C14" s="35" t="s">
        <v>6814</v>
      </c>
      <c r="D14" s="35" t="s">
        <v>7008</v>
      </c>
      <c r="E14" s="35" t="s">
        <v>33</v>
      </c>
      <c r="F14" s="36">
        <v>0</v>
      </c>
      <c r="G14" s="35" t="s">
        <v>34</v>
      </c>
      <c r="H14" s="35" t="s">
        <v>36</v>
      </c>
    </row>
    <row r="15" spans="1:8" ht="23.1" thickBot="1" x14ac:dyDescent="0.6">
      <c r="A15" s="44"/>
      <c r="B15" s="37"/>
      <c r="C15" s="35" t="s">
        <v>6744</v>
      </c>
      <c r="D15" s="35" t="s">
        <v>7009</v>
      </c>
      <c r="E15" s="35" t="s">
        <v>33</v>
      </c>
      <c r="F15" s="36">
        <v>0</v>
      </c>
      <c r="G15" s="35" t="s">
        <v>34</v>
      </c>
      <c r="H15" s="35" t="s">
        <v>36</v>
      </c>
    </row>
    <row r="16" spans="1:8" ht="14.7" thickBot="1" x14ac:dyDescent="0.6">
      <c r="A16" s="44" t="s">
        <v>7010</v>
      </c>
      <c r="B16" s="37" t="s">
        <v>6583</v>
      </c>
      <c r="C16" s="35" t="s">
        <v>6780</v>
      </c>
      <c r="D16" s="35" t="s">
        <v>7011</v>
      </c>
      <c r="E16" s="35"/>
      <c r="F16" s="36"/>
      <c r="G16" s="35"/>
      <c r="H16" s="35"/>
    </row>
    <row r="17" spans="1:8" ht="23.1" thickBot="1" x14ac:dyDescent="0.6">
      <c r="A17" s="44"/>
      <c r="B17" s="37"/>
      <c r="C17" s="35"/>
      <c r="D17" s="35"/>
      <c r="E17" s="35" t="s">
        <v>37</v>
      </c>
      <c r="F17" s="36">
        <v>0</v>
      </c>
      <c r="G17" s="35" t="s">
        <v>38</v>
      </c>
      <c r="H17" s="35" t="s">
        <v>40</v>
      </c>
    </row>
    <row r="18" spans="1:8" ht="23.1" thickBot="1" x14ac:dyDescent="0.6">
      <c r="A18" s="44" t="s">
        <v>7012</v>
      </c>
      <c r="B18" s="37" t="s">
        <v>6443</v>
      </c>
      <c r="C18" s="35" t="s">
        <v>6780</v>
      </c>
      <c r="D18" s="35" t="s">
        <v>7013</v>
      </c>
      <c r="E18" s="35" t="s">
        <v>41</v>
      </c>
      <c r="F18" s="36">
        <v>0</v>
      </c>
      <c r="G18" s="35" t="s">
        <v>42</v>
      </c>
      <c r="H18" s="35" t="s">
        <v>44</v>
      </c>
    </row>
    <row r="19" spans="1:8" ht="14.7" thickBot="1" x14ac:dyDescent="0.6">
      <c r="A19" s="44"/>
      <c r="B19" s="37"/>
      <c r="C19" s="35" t="s">
        <v>6744</v>
      </c>
      <c r="D19" s="35" t="s">
        <v>7014</v>
      </c>
      <c r="E19" s="35"/>
      <c r="F19" s="36"/>
      <c r="G19" s="35"/>
      <c r="H19" s="35"/>
    </row>
    <row r="20" spans="1:8" ht="23.1" thickBot="1" x14ac:dyDescent="0.6">
      <c r="A20" s="44" t="s">
        <v>7015</v>
      </c>
      <c r="B20" s="37" t="s">
        <v>6619</v>
      </c>
      <c r="C20" s="35" t="s">
        <v>6744</v>
      </c>
      <c r="D20" s="35" t="s">
        <v>7016</v>
      </c>
      <c r="E20" s="35" t="s">
        <v>45</v>
      </c>
      <c r="F20" s="36">
        <v>0</v>
      </c>
      <c r="G20" s="35" t="s">
        <v>46</v>
      </c>
      <c r="H20" s="35" t="s">
        <v>48</v>
      </c>
    </row>
    <row r="21" spans="1:8" ht="23.1" thickBot="1" x14ac:dyDescent="0.6">
      <c r="A21" s="44"/>
      <c r="B21" s="37"/>
      <c r="C21" s="35"/>
      <c r="D21" s="35"/>
      <c r="E21" s="35" t="s">
        <v>49</v>
      </c>
      <c r="F21" s="36">
        <v>0</v>
      </c>
      <c r="G21" s="35" t="s">
        <v>50</v>
      </c>
      <c r="H21" s="35" t="s">
        <v>52</v>
      </c>
    </row>
    <row r="22" spans="1:8" ht="23.1" thickBot="1" x14ac:dyDescent="0.6">
      <c r="A22" s="44"/>
      <c r="B22" s="37"/>
      <c r="C22" s="35"/>
      <c r="D22" s="35"/>
      <c r="E22" s="35" t="s">
        <v>53</v>
      </c>
      <c r="F22" s="36">
        <v>0</v>
      </c>
      <c r="G22" s="35" t="s">
        <v>54</v>
      </c>
      <c r="H22" s="35" t="s">
        <v>55</v>
      </c>
    </row>
    <row r="23" spans="1:8" ht="23.1" thickBot="1" x14ac:dyDescent="0.6">
      <c r="A23" s="44" t="s">
        <v>7017</v>
      </c>
      <c r="B23" s="37" t="s">
        <v>6544</v>
      </c>
      <c r="C23" s="35" t="s">
        <v>6745</v>
      </c>
      <c r="D23" s="35" t="s">
        <v>7018</v>
      </c>
      <c r="E23" s="35" t="s">
        <v>56</v>
      </c>
      <c r="F23" s="36">
        <v>0</v>
      </c>
      <c r="G23" s="35" t="s">
        <v>57</v>
      </c>
      <c r="H23" s="35" t="s">
        <v>59</v>
      </c>
    </row>
    <row r="24" spans="1:8" ht="23.1" thickBot="1" x14ac:dyDescent="0.6">
      <c r="A24" s="44"/>
      <c r="B24" s="37"/>
      <c r="C24" s="35"/>
      <c r="D24" s="35"/>
      <c r="E24" s="35" t="s">
        <v>60</v>
      </c>
      <c r="F24" s="36">
        <v>0</v>
      </c>
      <c r="G24" s="35" t="s">
        <v>61</v>
      </c>
      <c r="H24" s="35" t="s">
        <v>63</v>
      </c>
    </row>
    <row r="25" spans="1:8" ht="23.1" thickBot="1" x14ac:dyDescent="0.6">
      <c r="A25" s="44" t="s">
        <v>7019</v>
      </c>
      <c r="B25" s="37" t="s">
        <v>6348</v>
      </c>
      <c r="C25" s="35" t="s">
        <v>6744</v>
      </c>
      <c r="D25" s="35" t="s">
        <v>7020</v>
      </c>
      <c r="E25" s="35" t="s">
        <v>64</v>
      </c>
      <c r="F25" s="36">
        <v>0</v>
      </c>
      <c r="G25" s="35" t="s">
        <v>65</v>
      </c>
      <c r="H25" s="35" t="s">
        <v>67</v>
      </c>
    </row>
    <row r="26" spans="1:8" ht="23.1" thickBot="1" x14ac:dyDescent="0.6">
      <c r="A26" s="44" t="s">
        <v>7021</v>
      </c>
      <c r="B26" s="37" t="s">
        <v>6722</v>
      </c>
      <c r="C26" s="35" t="s">
        <v>6780</v>
      </c>
      <c r="D26" s="35" t="s">
        <v>7022</v>
      </c>
      <c r="E26" s="35" t="s">
        <v>68</v>
      </c>
      <c r="F26" s="36">
        <v>0</v>
      </c>
      <c r="G26" s="35" t="s">
        <v>69</v>
      </c>
      <c r="H26" s="35" t="s">
        <v>71</v>
      </c>
    </row>
    <row r="27" spans="1:8" ht="23.1" thickBot="1" x14ac:dyDescent="0.6">
      <c r="A27" s="44"/>
      <c r="B27" s="37"/>
      <c r="C27" s="35" t="s">
        <v>6744</v>
      </c>
      <c r="D27" s="35" t="s">
        <v>7023</v>
      </c>
      <c r="E27" s="35" t="s">
        <v>68</v>
      </c>
      <c r="F27" s="36">
        <v>0</v>
      </c>
      <c r="G27" s="35" t="s">
        <v>69</v>
      </c>
      <c r="H27" s="35" t="s">
        <v>71</v>
      </c>
    </row>
    <row r="28" spans="1:8" ht="23.1" thickBot="1" x14ac:dyDescent="0.6">
      <c r="A28" s="44"/>
      <c r="B28" s="37"/>
      <c r="C28" s="35"/>
      <c r="D28" s="35"/>
      <c r="E28" s="35" t="s">
        <v>72</v>
      </c>
      <c r="F28" s="36">
        <v>0</v>
      </c>
      <c r="G28" s="35" t="s">
        <v>73</v>
      </c>
      <c r="H28" s="35" t="s">
        <v>75</v>
      </c>
    </row>
    <row r="29" spans="1:8" ht="23.1" thickBot="1" x14ac:dyDescent="0.6">
      <c r="A29" s="44" t="s">
        <v>7024</v>
      </c>
      <c r="B29" s="37" t="s">
        <v>6378</v>
      </c>
      <c r="C29" s="35" t="s">
        <v>6780</v>
      </c>
      <c r="D29" s="35" t="s">
        <v>7025</v>
      </c>
      <c r="E29" s="35" t="s">
        <v>76</v>
      </c>
      <c r="F29" s="36">
        <v>0</v>
      </c>
      <c r="G29" s="35" t="s">
        <v>77</v>
      </c>
      <c r="H29" s="35" t="s">
        <v>79</v>
      </c>
    </row>
    <row r="30" spans="1:8" ht="23.1" thickBot="1" x14ac:dyDescent="0.6">
      <c r="A30" s="44"/>
      <c r="B30" s="37"/>
      <c r="C30" s="35" t="s">
        <v>6744</v>
      </c>
      <c r="D30" s="35" t="s">
        <v>7026</v>
      </c>
      <c r="E30" s="35" t="s">
        <v>76</v>
      </c>
      <c r="F30" s="36">
        <v>0</v>
      </c>
      <c r="G30" s="35" t="s">
        <v>77</v>
      </c>
      <c r="H30" s="35" t="s">
        <v>79</v>
      </c>
    </row>
    <row r="31" spans="1:8" ht="23.1" thickBot="1" x14ac:dyDescent="0.6">
      <c r="A31" s="44" t="s">
        <v>7027</v>
      </c>
      <c r="B31" s="37" t="s">
        <v>6405</v>
      </c>
      <c r="C31" s="35" t="s">
        <v>6780</v>
      </c>
      <c r="D31" s="35" t="s">
        <v>7028</v>
      </c>
      <c r="E31" s="35" t="s">
        <v>80</v>
      </c>
      <c r="F31" s="36">
        <v>0</v>
      </c>
      <c r="G31" s="35" t="s">
        <v>81</v>
      </c>
      <c r="H31" s="35" t="s">
        <v>83</v>
      </c>
    </row>
    <row r="32" spans="1:8" ht="23.1" thickBot="1" x14ac:dyDescent="0.6">
      <c r="A32" s="44"/>
      <c r="B32" s="37"/>
      <c r="C32" s="35" t="s">
        <v>6744</v>
      </c>
      <c r="D32" s="35" t="s">
        <v>7029</v>
      </c>
      <c r="E32" s="35" t="s">
        <v>80</v>
      </c>
      <c r="F32" s="36">
        <v>0</v>
      </c>
      <c r="G32" s="35" t="s">
        <v>81</v>
      </c>
      <c r="H32" s="35" t="s">
        <v>83</v>
      </c>
    </row>
    <row r="33" spans="1:8" ht="23.1" thickBot="1" x14ac:dyDescent="0.6">
      <c r="A33" s="44" t="s">
        <v>7030</v>
      </c>
      <c r="B33" s="37" t="s">
        <v>6640</v>
      </c>
      <c r="C33" s="35" t="s">
        <v>6744</v>
      </c>
      <c r="D33" s="35" t="s">
        <v>7031</v>
      </c>
      <c r="E33" s="35" t="s">
        <v>84</v>
      </c>
      <c r="F33" s="36">
        <v>0</v>
      </c>
      <c r="G33" s="35" t="s">
        <v>85</v>
      </c>
      <c r="H33" s="35" t="s">
        <v>87</v>
      </c>
    </row>
    <row r="34" spans="1:8" ht="23.1" thickBot="1" x14ac:dyDescent="0.6">
      <c r="A34" s="44" t="s">
        <v>7032</v>
      </c>
      <c r="B34" s="37" t="s">
        <v>6515</v>
      </c>
      <c r="C34" s="35" t="s">
        <v>6780</v>
      </c>
      <c r="D34" s="35" t="s">
        <v>7033</v>
      </c>
      <c r="E34" s="35" t="s">
        <v>88</v>
      </c>
      <c r="F34" s="36">
        <v>0</v>
      </c>
      <c r="G34" s="35" t="s">
        <v>89</v>
      </c>
      <c r="H34" s="35" t="s">
        <v>91</v>
      </c>
    </row>
    <row r="35" spans="1:8" ht="23.1" thickBot="1" x14ac:dyDescent="0.6">
      <c r="A35" s="44"/>
      <c r="B35" s="37"/>
      <c r="C35" s="35" t="s">
        <v>6744</v>
      </c>
      <c r="D35" s="35" t="s">
        <v>7034</v>
      </c>
      <c r="E35" s="35" t="s">
        <v>88</v>
      </c>
      <c r="F35" s="36">
        <v>0</v>
      </c>
      <c r="G35" s="35" t="s">
        <v>89</v>
      </c>
      <c r="H35" s="35" t="s">
        <v>91</v>
      </c>
    </row>
    <row r="36" spans="1:8" ht="23.1" thickBot="1" x14ac:dyDescent="0.6">
      <c r="A36" s="44"/>
      <c r="B36" s="37"/>
      <c r="C36" s="35"/>
      <c r="D36" s="35"/>
      <c r="E36" s="35" t="s">
        <v>92</v>
      </c>
      <c r="F36" s="36">
        <v>0</v>
      </c>
      <c r="G36" s="35" t="s">
        <v>93</v>
      </c>
      <c r="H36" s="35" t="s">
        <v>95</v>
      </c>
    </row>
    <row r="37" spans="1:8" ht="23.1" thickBot="1" x14ac:dyDescent="0.6">
      <c r="A37" s="44" t="s">
        <v>7035</v>
      </c>
      <c r="B37" s="37" t="s">
        <v>6523</v>
      </c>
      <c r="C37" s="35" t="s">
        <v>6780</v>
      </c>
      <c r="D37" s="35" t="s">
        <v>7036</v>
      </c>
      <c r="E37" s="35" t="s">
        <v>96</v>
      </c>
      <c r="F37" s="36">
        <v>0</v>
      </c>
      <c r="G37" s="35" t="s">
        <v>97</v>
      </c>
      <c r="H37" s="35" t="s">
        <v>99</v>
      </c>
    </row>
    <row r="38" spans="1:8" ht="23.1" thickBot="1" x14ac:dyDescent="0.6">
      <c r="A38" s="44" t="s">
        <v>7037</v>
      </c>
      <c r="B38" s="37" t="s">
        <v>6641</v>
      </c>
      <c r="C38" s="35" t="s">
        <v>6744</v>
      </c>
      <c r="D38" s="35" t="s">
        <v>7038</v>
      </c>
      <c r="E38" s="35" t="s">
        <v>96</v>
      </c>
      <c r="F38" s="36">
        <v>0</v>
      </c>
      <c r="G38" s="35" t="s">
        <v>97</v>
      </c>
      <c r="H38" s="35" t="s">
        <v>99</v>
      </c>
    </row>
    <row r="39" spans="1:8" ht="23.1" thickBot="1" x14ac:dyDescent="0.6">
      <c r="A39" s="44"/>
      <c r="B39" s="37"/>
      <c r="C39" s="35"/>
      <c r="D39" s="35"/>
      <c r="E39" s="35" t="s">
        <v>100</v>
      </c>
      <c r="F39" s="36">
        <v>0</v>
      </c>
      <c r="G39" s="35" t="s">
        <v>101</v>
      </c>
      <c r="H39" s="35" t="s">
        <v>103</v>
      </c>
    </row>
    <row r="40" spans="1:8" ht="23.1" thickBot="1" x14ac:dyDescent="0.6">
      <c r="A40" s="44"/>
      <c r="B40" s="37"/>
      <c r="C40" s="35" t="s">
        <v>6745</v>
      </c>
      <c r="D40" s="35" t="s">
        <v>7039</v>
      </c>
      <c r="E40" s="35" t="s">
        <v>104</v>
      </c>
      <c r="F40" s="36">
        <v>0</v>
      </c>
      <c r="G40" s="35" t="s">
        <v>105</v>
      </c>
      <c r="H40" s="35" t="s">
        <v>107</v>
      </c>
    </row>
    <row r="41" spans="1:8" ht="23.1" thickBot="1" x14ac:dyDescent="0.6">
      <c r="A41" s="44"/>
      <c r="B41" s="37"/>
      <c r="C41" s="35" t="s">
        <v>6746</v>
      </c>
      <c r="D41" s="35" t="s">
        <v>7040</v>
      </c>
      <c r="E41" s="35" t="s">
        <v>104</v>
      </c>
      <c r="F41" s="36">
        <v>0</v>
      </c>
      <c r="G41" s="35" t="s">
        <v>105</v>
      </c>
      <c r="H41" s="35" t="s">
        <v>107</v>
      </c>
    </row>
    <row r="42" spans="1:8" ht="23.1" thickBot="1" x14ac:dyDescent="0.6">
      <c r="A42" s="44" t="s">
        <v>7041</v>
      </c>
      <c r="B42" s="37" t="s">
        <v>108</v>
      </c>
      <c r="C42" s="35" t="s">
        <v>6745</v>
      </c>
      <c r="D42" s="35" t="s">
        <v>7042</v>
      </c>
      <c r="E42" s="35" t="s">
        <v>110</v>
      </c>
      <c r="F42" s="36">
        <v>0</v>
      </c>
      <c r="G42" s="35" t="s">
        <v>111</v>
      </c>
      <c r="H42" s="35" t="s">
        <v>109</v>
      </c>
    </row>
    <row r="43" spans="1:8" ht="23.1" thickBot="1" x14ac:dyDescent="0.6">
      <c r="A43" s="44"/>
      <c r="B43" s="37"/>
      <c r="C43" s="35" t="s">
        <v>6746</v>
      </c>
      <c r="D43" s="35" t="s">
        <v>7043</v>
      </c>
      <c r="E43" s="35" t="s">
        <v>110</v>
      </c>
      <c r="F43" s="36">
        <v>0</v>
      </c>
      <c r="G43" s="35" t="s">
        <v>111</v>
      </c>
      <c r="H43" s="35" t="s">
        <v>109</v>
      </c>
    </row>
    <row r="44" spans="1:8" ht="23.1" thickBot="1" x14ac:dyDescent="0.6">
      <c r="A44" s="44"/>
      <c r="B44" s="37"/>
      <c r="C44" s="35"/>
      <c r="D44" s="35"/>
      <c r="E44" s="35" t="s">
        <v>113</v>
      </c>
      <c r="F44" s="36">
        <v>1</v>
      </c>
      <c r="G44" s="35" t="s">
        <v>114</v>
      </c>
      <c r="H44" s="35" t="s">
        <v>109</v>
      </c>
    </row>
    <row r="45" spans="1:8" ht="23.1" thickBot="1" x14ac:dyDescent="0.6">
      <c r="A45" s="44"/>
      <c r="B45" s="37"/>
      <c r="C45" s="35"/>
      <c r="D45" s="35"/>
      <c r="E45" s="35" t="s">
        <v>116</v>
      </c>
      <c r="F45" s="36">
        <v>2</v>
      </c>
      <c r="G45" s="35" t="s">
        <v>117</v>
      </c>
      <c r="H45" s="35" t="s">
        <v>109</v>
      </c>
    </row>
    <row r="46" spans="1:8" ht="23.1" thickBot="1" x14ac:dyDescent="0.6">
      <c r="A46" s="44"/>
      <c r="B46" s="37"/>
      <c r="C46" s="35"/>
      <c r="D46" s="35"/>
      <c r="E46" s="35" t="s">
        <v>119</v>
      </c>
      <c r="F46" s="36">
        <v>3</v>
      </c>
      <c r="G46" s="35" t="s">
        <v>120</v>
      </c>
      <c r="H46" s="35" t="s">
        <v>109</v>
      </c>
    </row>
    <row r="47" spans="1:8" ht="23.1" thickBot="1" x14ac:dyDescent="0.6">
      <c r="A47" s="44"/>
      <c r="B47" s="37"/>
      <c r="C47" s="35"/>
      <c r="D47" s="35"/>
      <c r="E47" s="35" t="s">
        <v>122</v>
      </c>
      <c r="F47" s="36">
        <v>4</v>
      </c>
      <c r="G47" s="35" t="s">
        <v>123</v>
      </c>
      <c r="H47" s="35" t="s">
        <v>109</v>
      </c>
    </row>
    <row r="48" spans="1:8" ht="23.1" thickBot="1" x14ac:dyDescent="0.6">
      <c r="A48" s="44"/>
      <c r="B48" s="37"/>
      <c r="C48" s="35"/>
      <c r="D48" s="35"/>
      <c r="E48" s="35" t="s">
        <v>125</v>
      </c>
      <c r="F48" s="36">
        <v>5</v>
      </c>
      <c r="G48" s="35" t="s">
        <v>126</v>
      </c>
      <c r="H48" s="35" t="s">
        <v>109</v>
      </c>
    </row>
    <row r="49" spans="1:8" ht="23.1" thickBot="1" x14ac:dyDescent="0.6">
      <c r="A49" s="44"/>
      <c r="B49" s="37"/>
      <c r="C49" s="35"/>
      <c r="D49" s="35"/>
      <c r="E49" s="35" t="s">
        <v>128</v>
      </c>
      <c r="F49" s="36">
        <v>6</v>
      </c>
      <c r="G49" s="35" t="s">
        <v>129</v>
      </c>
      <c r="H49" s="35" t="s">
        <v>109</v>
      </c>
    </row>
    <row r="50" spans="1:8" ht="23.1" thickBot="1" x14ac:dyDescent="0.6">
      <c r="A50" s="44"/>
      <c r="B50" s="37"/>
      <c r="C50" s="35"/>
      <c r="D50" s="35"/>
      <c r="E50" s="35" t="s">
        <v>131</v>
      </c>
      <c r="F50" s="36">
        <v>7</v>
      </c>
      <c r="G50" s="35" t="s">
        <v>132</v>
      </c>
      <c r="H50" s="35" t="s">
        <v>109</v>
      </c>
    </row>
    <row r="51" spans="1:8" ht="23.1" thickBot="1" x14ac:dyDescent="0.6">
      <c r="A51" s="44"/>
      <c r="B51" s="37"/>
      <c r="C51" s="35"/>
      <c r="D51" s="35"/>
      <c r="E51" s="35" t="s">
        <v>134</v>
      </c>
      <c r="F51" s="36">
        <v>999</v>
      </c>
      <c r="G51" s="35" t="s">
        <v>135</v>
      </c>
      <c r="H51" s="35" t="s">
        <v>109</v>
      </c>
    </row>
    <row r="52" spans="1:8" ht="23.1" thickBot="1" x14ac:dyDescent="0.6">
      <c r="A52" s="44" t="s">
        <v>7044</v>
      </c>
      <c r="B52" s="37" t="s">
        <v>6664</v>
      </c>
      <c r="C52" s="35" t="s">
        <v>6745</v>
      </c>
      <c r="D52" s="35" t="s">
        <v>7045</v>
      </c>
      <c r="E52" s="35" t="s">
        <v>137</v>
      </c>
      <c r="F52" s="36">
        <v>0</v>
      </c>
      <c r="G52" s="35" t="s">
        <v>138</v>
      </c>
      <c r="H52" s="35" t="s">
        <v>140</v>
      </c>
    </row>
    <row r="53" spans="1:8" ht="23.1" thickBot="1" x14ac:dyDescent="0.6">
      <c r="A53" s="44"/>
      <c r="B53" s="37"/>
      <c r="C53" s="35" t="s">
        <v>6746</v>
      </c>
      <c r="D53" s="35" t="s">
        <v>7046</v>
      </c>
      <c r="E53" s="35" t="s">
        <v>137</v>
      </c>
      <c r="F53" s="36">
        <v>0</v>
      </c>
      <c r="G53" s="35" t="s">
        <v>138</v>
      </c>
      <c r="H53" s="35" t="s">
        <v>140</v>
      </c>
    </row>
    <row r="54" spans="1:8" ht="23.1" thickBot="1" x14ac:dyDescent="0.6">
      <c r="A54" s="44" t="s">
        <v>7047</v>
      </c>
      <c r="B54" s="37" t="s">
        <v>6663</v>
      </c>
      <c r="C54" s="35" t="s">
        <v>6745</v>
      </c>
      <c r="D54" s="35" t="s">
        <v>7048</v>
      </c>
      <c r="E54" s="35" t="s">
        <v>141</v>
      </c>
      <c r="F54" s="36">
        <v>0</v>
      </c>
      <c r="G54" s="35" t="s">
        <v>142</v>
      </c>
      <c r="H54" s="35" t="s">
        <v>144</v>
      </c>
    </row>
    <row r="55" spans="1:8" ht="23.1" thickBot="1" x14ac:dyDescent="0.6">
      <c r="A55" s="44"/>
      <c r="B55" s="37"/>
      <c r="C55" s="35" t="s">
        <v>6746</v>
      </c>
      <c r="D55" s="35" t="s">
        <v>7049</v>
      </c>
      <c r="E55" s="35" t="s">
        <v>141</v>
      </c>
      <c r="F55" s="36">
        <v>0</v>
      </c>
      <c r="G55" s="35" t="s">
        <v>142</v>
      </c>
      <c r="H55" s="35" t="s">
        <v>144</v>
      </c>
    </row>
    <row r="56" spans="1:8" ht="23.1" thickBot="1" x14ac:dyDescent="0.6">
      <c r="A56" s="44" t="s">
        <v>7050</v>
      </c>
      <c r="B56" s="37" t="s">
        <v>6603</v>
      </c>
      <c r="C56" s="35" t="s">
        <v>6745</v>
      </c>
      <c r="D56" s="35" t="s">
        <v>7051</v>
      </c>
      <c r="E56" s="35" t="s">
        <v>145</v>
      </c>
      <c r="F56" s="36">
        <v>0</v>
      </c>
      <c r="G56" s="35" t="s">
        <v>146</v>
      </c>
      <c r="H56" s="35" t="s">
        <v>148</v>
      </c>
    </row>
    <row r="57" spans="1:8" ht="23.1" thickBot="1" x14ac:dyDescent="0.6">
      <c r="A57" s="44"/>
      <c r="B57" s="37"/>
      <c r="C57" s="35" t="s">
        <v>6746</v>
      </c>
      <c r="D57" s="35" t="s">
        <v>7052</v>
      </c>
      <c r="E57" s="35" t="s">
        <v>145</v>
      </c>
      <c r="F57" s="36">
        <v>0</v>
      </c>
      <c r="G57" s="35" t="s">
        <v>146</v>
      </c>
      <c r="H57" s="35" t="s">
        <v>148</v>
      </c>
    </row>
    <row r="58" spans="1:8" ht="23.1" thickBot="1" x14ac:dyDescent="0.6">
      <c r="A58" s="44"/>
      <c r="B58" s="37"/>
      <c r="C58" s="35"/>
      <c r="D58" s="35"/>
      <c r="E58" s="35" t="s">
        <v>149</v>
      </c>
      <c r="F58" s="36">
        <v>0</v>
      </c>
      <c r="G58" s="35" t="s">
        <v>150</v>
      </c>
      <c r="H58" s="35" t="s">
        <v>152</v>
      </c>
    </row>
    <row r="59" spans="1:8" ht="23.1" thickBot="1" x14ac:dyDescent="0.6">
      <c r="A59" s="44" t="s">
        <v>7053</v>
      </c>
      <c r="B59" s="37" t="s">
        <v>6584</v>
      </c>
      <c r="C59" s="35" t="s">
        <v>6745</v>
      </c>
      <c r="D59" s="35" t="s">
        <v>7054</v>
      </c>
      <c r="E59" s="35" t="s">
        <v>153</v>
      </c>
      <c r="F59" s="36">
        <v>0</v>
      </c>
      <c r="G59" s="35" t="s">
        <v>154</v>
      </c>
      <c r="H59" s="35" t="s">
        <v>156</v>
      </c>
    </row>
    <row r="60" spans="1:8" ht="23.1" thickBot="1" x14ac:dyDescent="0.6">
      <c r="A60" s="44"/>
      <c r="B60" s="37"/>
      <c r="C60" s="35" t="s">
        <v>6746</v>
      </c>
      <c r="D60" s="35" t="s">
        <v>7055</v>
      </c>
      <c r="E60" s="35" t="s">
        <v>153</v>
      </c>
      <c r="F60" s="36">
        <v>0</v>
      </c>
      <c r="G60" s="35" t="s">
        <v>154</v>
      </c>
      <c r="H60" s="35" t="s">
        <v>156</v>
      </c>
    </row>
    <row r="61" spans="1:8" ht="23.1" thickBot="1" x14ac:dyDescent="0.6">
      <c r="A61" s="44" t="s">
        <v>7056</v>
      </c>
      <c r="B61" s="37" t="s">
        <v>6505</v>
      </c>
      <c r="C61" s="35" t="s">
        <v>6745</v>
      </c>
      <c r="D61" s="35" t="s">
        <v>7057</v>
      </c>
      <c r="E61" s="35" t="s">
        <v>157</v>
      </c>
      <c r="F61" s="36">
        <v>0</v>
      </c>
      <c r="G61" s="35" t="s">
        <v>158</v>
      </c>
      <c r="H61" s="35" t="s">
        <v>160</v>
      </c>
    </row>
    <row r="62" spans="1:8" ht="23.1" thickBot="1" x14ac:dyDescent="0.6">
      <c r="A62" s="44"/>
      <c r="B62" s="37"/>
      <c r="C62" s="35" t="s">
        <v>6746</v>
      </c>
      <c r="D62" s="35" t="s">
        <v>7058</v>
      </c>
      <c r="E62" s="35" t="s">
        <v>157</v>
      </c>
      <c r="F62" s="36">
        <v>0</v>
      </c>
      <c r="G62" s="35" t="s">
        <v>158</v>
      </c>
      <c r="H62" s="35" t="s">
        <v>160</v>
      </c>
    </row>
    <row r="63" spans="1:8" ht="23.1" thickBot="1" x14ac:dyDescent="0.6">
      <c r="A63" s="44" t="s">
        <v>7059</v>
      </c>
      <c r="B63" s="37" t="s">
        <v>6419</v>
      </c>
      <c r="C63" s="35" t="s">
        <v>6745</v>
      </c>
      <c r="D63" s="35" t="s">
        <v>7060</v>
      </c>
      <c r="E63" s="35" t="s">
        <v>161</v>
      </c>
      <c r="F63" s="36">
        <v>0</v>
      </c>
      <c r="G63" s="35" t="s">
        <v>162</v>
      </c>
      <c r="H63" s="35" t="s">
        <v>164</v>
      </c>
    </row>
    <row r="64" spans="1:8" ht="23.1" thickBot="1" x14ac:dyDescent="0.6">
      <c r="A64" s="44"/>
      <c r="B64" s="37"/>
      <c r="C64" s="35" t="s">
        <v>6746</v>
      </c>
      <c r="D64" s="35" t="s">
        <v>7061</v>
      </c>
      <c r="E64" s="35" t="s">
        <v>161</v>
      </c>
      <c r="F64" s="36">
        <v>0</v>
      </c>
      <c r="G64" s="35" t="s">
        <v>162</v>
      </c>
      <c r="H64" s="35" t="s">
        <v>164</v>
      </c>
    </row>
    <row r="65" spans="1:8" ht="23.1" thickBot="1" x14ac:dyDescent="0.6">
      <c r="A65" s="44" t="s">
        <v>7062</v>
      </c>
      <c r="B65" s="37" t="s">
        <v>6737</v>
      </c>
      <c r="C65" s="35" t="s">
        <v>6745</v>
      </c>
      <c r="D65" s="35" t="s">
        <v>7063</v>
      </c>
      <c r="E65" s="35" t="s">
        <v>165</v>
      </c>
      <c r="F65" s="36">
        <v>0</v>
      </c>
      <c r="G65" s="35" t="s">
        <v>166</v>
      </c>
      <c r="H65" s="35" t="s">
        <v>168</v>
      </c>
    </row>
    <row r="66" spans="1:8" ht="23.1" thickBot="1" x14ac:dyDescent="0.6">
      <c r="A66" s="44"/>
      <c r="B66" s="37"/>
      <c r="C66" s="35" t="s">
        <v>6746</v>
      </c>
      <c r="D66" s="35" t="s">
        <v>7064</v>
      </c>
      <c r="E66" s="35" t="s">
        <v>165</v>
      </c>
      <c r="F66" s="36">
        <v>0</v>
      </c>
      <c r="G66" s="35" t="s">
        <v>166</v>
      </c>
      <c r="H66" s="35" t="s">
        <v>168</v>
      </c>
    </row>
    <row r="67" spans="1:8" ht="23.1" thickBot="1" x14ac:dyDescent="0.6">
      <c r="A67" s="44"/>
      <c r="B67" s="37" t="s">
        <v>6659</v>
      </c>
      <c r="C67" s="35"/>
      <c r="D67" s="35"/>
      <c r="E67" s="35" t="s">
        <v>169</v>
      </c>
      <c r="F67" s="36">
        <v>0</v>
      </c>
      <c r="G67" s="35" t="s">
        <v>170</v>
      </c>
      <c r="H67" s="35" t="s">
        <v>172</v>
      </c>
    </row>
    <row r="68" spans="1:8" ht="23.1" thickBot="1" x14ac:dyDescent="0.6">
      <c r="A68" s="44" t="s">
        <v>7065</v>
      </c>
      <c r="B68" s="37" t="s">
        <v>6659</v>
      </c>
      <c r="C68" s="35" t="s">
        <v>6745</v>
      </c>
      <c r="D68" s="35" t="s">
        <v>7066</v>
      </c>
      <c r="E68" s="35" t="s">
        <v>173</v>
      </c>
      <c r="F68" s="36">
        <v>0</v>
      </c>
      <c r="G68" s="35" t="s">
        <v>174</v>
      </c>
      <c r="H68" s="35" t="s">
        <v>176</v>
      </c>
    </row>
    <row r="69" spans="1:8" ht="23.1" thickBot="1" x14ac:dyDescent="0.6">
      <c r="A69" s="44" t="s">
        <v>7067</v>
      </c>
      <c r="B69" s="37" t="s">
        <v>6418</v>
      </c>
      <c r="C69" s="35" t="s">
        <v>6794</v>
      </c>
      <c r="D69" s="35" t="s">
        <v>7068</v>
      </c>
      <c r="E69" s="35" t="s">
        <v>177</v>
      </c>
      <c r="F69" s="36">
        <v>0</v>
      </c>
      <c r="G69" s="35" t="s">
        <v>178</v>
      </c>
      <c r="H69" s="35" t="s">
        <v>180</v>
      </c>
    </row>
    <row r="70" spans="1:8" ht="14.7" thickBot="1" x14ac:dyDescent="0.6">
      <c r="A70" s="44"/>
      <c r="B70" s="37"/>
      <c r="C70" s="35" t="s">
        <v>6780</v>
      </c>
      <c r="D70" s="35" t="s">
        <v>7069</v>
      </c>
      <c r="E70" s="35"/>
      <c r="F70" s="36"/>
      <c r="G70" s="35"/>
      <c r="H70" s="35"/>
    </row>
    <row r="71" spans="1:8" ht="23.1" thickBot="1" x14ac:dyDescent="0.6">
      <c r="A71" s="44"/>
      <c r="B71" s="37"/>
      <c r="C71" s="35"/>
      <c r="D71" s="35"/>
      <c r="E71" s="35" t="s">
        <v>181</v>
      </c>
      <c r="F71" s="36">
        <v>0</v>
      </c>
      <c r="G71" s="35" t="s">
        <v>182</v>
      </c>
      <c r="H71" s="35" t="s">
        <v>184</v>
      </c>
    </row>
    <row r="72" spans="1:8" ht="23.1" thickBot="1" x14ac:dyDescent="0.6">
      <c r="A72" s="44" t="s">
        <v>7070</v>
      </c>
      <c r="B72" s="37" t="s">
        <v>6420</v>
      </c>
      <c r="C72" s="35" t="s">
        <v>6745</v>
      </c>
      <c r="D72" s="35" t="s">
        <v>7071</v>
      </c>
      <c r="E72" s="35" t="s">
        <v>185</v>
      </c>
      <c r="F72" s="36">
        <v>0</v>
      </c>
      <c r="G72" s="35" t="s">
        <v>186</v>
      </c>
      <c r="H72" s="35" t="s">
        <v>188</v>
      </c>
    </row>
    <row r="73" spans="1:8" ht="14.7" thickBot="1" x14ac:dyDescent="0.6">
      <c r="A73" s="44"/>
      <c r="B73" s="37"/>
      <c r="C73" s="35" t="s">
        <v>6746</v>
      </c>
      <c r="D73" s="35" t="s">
        <v>7072</v>
      </c>
      <c r="E73" s="35"/>
      <c r="F73" s="36"/>
      <c r="G73" s="35"/>
      <c r="H73" s="35"/>
    </row>
    <row r="74" spans="1:8" ht="23.1" thickBot="1" x14ac:dyDescent="0.6">
      <c r="A74" s="44" t="s">
        <v>7073</v>
      </c>
      <c r="B74" s="37" t="s">
        <v>6422</v>
      </c>
      <c r="C74" s="35" t="s">
        <v>6780</v>
      </c>
      <c r="D74" s="35" t="s">
        <v>7074</v>
      </c>
      <c r="E74" s="35" t="s">
        <v>189</v>
      </c>
      <c r="F74" s="36">
        <v>0</v>
      </c>
      <c r="G74" s="35" t="s">
        <v>190</v>
      </c>
      <c r="H74" s="35" t="s">
        <v>192</v>
      </c>
    </row>
    <row r="75" spans="1:8" ht="14.7" thickBot="1" x14ac:dyDescent="0.6">
      <c r="A75" s="44"/>
      <c r="B75" s="37"/>
      <c r="C75" s="35" t="s">
        <v>6744</v>
      </c>
      <c r="D75" s="35" t="s">
        <v>7075</v>
      </c>
      <c r="E75" s="35"/>
      <c r="F75" s="36"/>
      <c r="G75" s="35"/>
      <c r="H75" s="35"/>
    </row>
    <row r="76" spans="1:8" ht="23.1" thickBot="1" x14ac:dyDescent="0.6">
      <c r="A76" s="44"/>
      <c r="B76" s="37"/>
      <c r="C76" s="35"/>
      <c r="D76" s="35"/>
      <c r="E76" s="35" t="s">
        <v>193</v>
      </c>
      <c r="F76" s="36">
        <v>0</v>
      </c>
      <c r="G76" s="35" t="s">
        <v>194</v>
      </c>
      <c r="H76" s="35" t="s">
        <v>196</v>
      </c>
    </row>
    <row r="77" spans="1:8" ht="23.1" thickBot="1" x14ac:dyDescent="0.6">
      <c r="A77" s="44" t="s">
        <v>7076</v>
      </c>
      <c r="B77" s="37" t="s">
        <v>6460</v>
      </c>
      <c r="C77" s="35" t="s">
        <v>6794</v>
      </c>
      <c r="D77" s="35" t="s">
        <v>7077</v>
      </c>
      <c r="E77" s="35" t="s">
        <v>197</v>
      </c>
      <c r="F77" s="36">
        <v>0</v>
      </c>
      <c r="G77" s="35" t="s">
        <v>198</v>
      </c>
      <c r="H77" s="35" t="s">
        <v>200</v>
      </c>
    </row>
    <row r="78" spans="1:8" ht="14.7" thickBot="1" x14ac:dyDescent="0.6">
      <c r="A78" s="44"/>
      <c r="B78" s="37"/>
      <c r="C78" s="35" t="s">
        <v>6780</v>
      </c>
      <c r="D78" s="35" t="s">
        <v>7078</v>
      </c>
      <c r="E78" s="35"/>
      <c r="F78" s="36"/>
      <c r="G78" s="35"/>
      <c r="H78" s="35"/>
    </row>
    <row r="79" spans="1:8" ht="23.1" thickBot="1" x14ac:dyDescent="0.6">
      <c r="A79" s="44" t="s">
        <v>7079</v>
      </c>
      <c r="B79" s="37" t="s">
        <v>6455</v>
      </c>
      <c r="C79" s="35" t="s">
        <v>6771</v>
      </c>
      <c r="D79" s="35" t="s">
        <v>7080</v>
      </c>
      <c r="E79" s="35" t="s">
        <v>201</v>
      </c>
      <c r="F79" s="36">
        <v>0</v>
      </c>
      <c r="G79" s="35" t="s">
        <v>202</v>
      </c>
      <c r="H79" s="35" t="s">
        <v>204</v>
      </c>
    </row>
    <row r="80" spans="1:8" ht="14.7" thickBot="1" x14ac:dyDescent="0.6">
      <c r="A80" s="44"/>
      <c r="B80" s="37"/>
      <c r="C80" s="35" t="s">
        <v>6772</v>
      </c>
      <c r="D80" s="35" t="s">
        <v>7081</v>
      </c>
      <c r="E80" s="35"/>
      <c r="F80" s="36"/>
      <c r="G80" s="35"/>
      <c r="H80" s="35"/>
    </row>
    <row r="81" spans="1:8" ht="23.1" thickBot="1" x14ac:dyDescent="0.6">
      <c r="A81" s="44" t="s">
        <v>7082</v>
      </c>
      <c r="B81" s="37" t="s">
        <v>6474</v>
      </c>
      <c r="C81" s="35" t="s">
        <v>6780</v>
      </c>
      <c r="D81" s="35" t="s">
        <v>7083</v>
      </c>
      <c r="E81" s="35" t="s">
        <v>205</v>
      </c>
      <c r="F81" s="36">
        <v>0</v>
      </c>
      <c r="G81" s="35" t="s">
        <v>206</v>
      </c>
      <c r="H81" s="35" t="s">
        <v>208</v>
      </c>
    </row>
    <row r="82" spans="1:8" ht="23.1" thickBot="1" x14ac:dyDescent="0.6">
      <c r="A82" s="44" t="s">
        <v>7084</v>
      </c>
      <c r="B82" s="37" t="s">
        <v>6511</v>
      </c>
      <c r="C82" s="35" t="s">
        <v>6780</v>
      </c>
      <c r="D82" s="35" t="s">
        <v>7085</v>
      </c>
      <c r="E82" s="35" t="s">
        <v>209</v>
      </c>
      <c r="F82" s="36">
        <v>0</v>
      </c>
      <c r="G82" s="35" t="s">
        <v>210</v>
      </c>
      <c r="H82" s="35" t="s">
        <v>212</v>
      </c>
    </row>
    <row r="83" spans="1:8" ht="23.1" thickBot="1" x14ac:dyDescent="0.6">
      <c r="A83" s="44" t="s">
        <v>7086</v>
      </c>
      <c r="B83" s="37" t="s">
        <v>6649</v>
      </c>
      <c r="C83" s="35" t="s">
        <v>6807</v>
      </c>
      <c r="D83" s="35" t="s">
        <v>7087</v>
      </c>
      <c r="E83" s="35" t="s">
        <v>213</v>
      </c>
      <c r="F83" s="36">
        <v>0</v>
      </c>
      <c r="G83" s="35" t="s">
        <v>214</v>
      </c>
      <c r="H83" s="35" t="s">
        <v>216</v>
      </c>
    </row>
    <row r="84" spans="1:8" ht="23.1" thickBot="1" x14ac:dyDescent="0.6">
      <c r="A84" s="44" t="s">
        <v>7088</v>
      </c>
      <c r="B84" s="37" t="s">
        <v>6586</v>
      </c>
      <c r="C84" s="35" t="s">
        <v>6807</v>
      </c>
      <c r="D84" s="35" t="s">
        <v>7089</v>
      </c>
      <c r="E84" s="35" t="s">
        <v>217</v>
      </c>
      <c r="F84" s="36">
        <v>0</v>
      </c>
      <c r="G84" s="35" t="s">
        <v>218</v>
      </c>
      <c r="H84" s="35" t="s">
        <v>220</v>
      </c>
    </row>
    <row r="85" spans="1:8" ht="23.1" thickBot="1" x14ac:dyDescent="0.6">
      <c r="A85" s="44" t="s">
        <v>7090</v>
      </c>
      <c r="B85" s="37" t="s">
        <v>6377</v>
      </c>
      <c r="C85" s="35" t="s">
        <v>6771</v>
      </c>
      <c r="D85" s="35" t="s">
        <v>7091</v>
      </c>
      <c r="E85" s="35" t="s">
        <v>221</v>
      </c>
      <c r="F85" s="36">
        <v>0</v>
      </c>
      <c r="G85" s="35" t="s">
        <v>222</v>
      </c>
      <c r="H85" s="35" t="s">
        <v>224</v>
      </c>
    </row>
    <row r="86" spans="1:8" ht="23.1" thickBot="1" x14ac:dyDescent="0.6">
      <c r="A86" s="44"/>
      <c r="B86" s="37"/>
      <c r="C86" s="35"/>
      <c r="D86" s="35"/>
      <c r="E86" s="35" t="s">
        <v>225</v>
      </c>
      <c r="F86" s="36">
        <v>0</v>
      </c>
      <c r="G86" s="35" t="s">
        <v>226</v>
      </c>
      <c r="H86" s="35" t="s">
        <v>228</v>
      </c>
    </row>
    <row r="87" spans="1:8" ht="23.1" thickBot="1" x14ac:dyDescent="0.6">
      <c r="A87" s="44"/>
      <c r="B87" s="37"/>
      <c r="C87" s="35"/>
      <c r="D87" s="35"/>
      <c r="E87" s="35" t="s">
        <v>229</v>
      </c>
      <c r="F87" s="36">
        <v>0</v>
      </c>
      <c r="G87" s="35" t="s">
        <v>230</v>
      </c>
      <c r="H87" s="35" t="s">
        <v>232</v>
      </c>
    </row>
    <row r="88" spans="1:8" ht="23.1" thickBot="1" x14ac:dyDescent="0.6">
      <c r="A88" s="44" t="s">
        <v>7092</v>
      </c>
      <c r="B88" s="37" t="s">
        <v>6456</v>
      </c>
      <c r="C88" s="35" t="s">
        <v>6800</v>
      </c>
      <c r="D88" s="35" t="s">
        <v>7093</v>
      </c>
      <c r="E88" s="35"/>
      <c r="F88" s="36"/>
      <c r="G88" s="35"/>
      <c r="H88" s="35"/>
    </row>
    <row r="89" spans="1:8" ht="23.1" thickBot="1" x14ac:dyDescent="0.6">
      <c r="A89" s="44"/>
      <c r="B89" s="37"/>
      <c r="C89" s="35" t="s">
        <v>6789</v>
      </c>
      <c r="D89" s="35" t="s">
        <v>7094</v>
      </c>
      <c r="E89" s="35"/>
      <c r="F89" s="36"/>
      <c r="G89" s="35"/>
      <c r="H89" s="35"/>
    </row>
    <row r="90" spans="1:8" ht="23.1" thickBot="1" x14ac:dyDescent="0.6">
      <c r="A90" s="44"/>
      <c r="B90" s="37"/>
      <c r="C90" s="35"/>
      <c r="D90" s="35"/>
      <c r="E90" s="35" t="s">
        <v>233</v>
      </c>
      <c r="F90" s="36">
        <v>0</v>
      </c>
      <c r="G90" s="35" t="s">
        <v>234</v>
      </c>
      <c r="H90" s="35" t="s">
        <v>236</v>
      </c>
    </row>
    <row r="91" spans="1:8" ht="23.1" thickBot="1" x14ac:dyDescent="0.6">
      <c r="A91" s="44"/>
      <c r="B91" s="37"/>
      <c r="C91" s="35"/>
      <c r="D91" s="35"/>
      <c r="E91" s="35" t="s">
        <v>237</v>
      </c>
      <c r="F91" s="36">
        <v>0</v>
      </c>
      <c r="G91" s="35" t="s">
        <v>238</v>
      </c>
      <c r="H91" s="35" t="s">
        <v>240</v>
      </c>
    </row>
    <row r="92" spans="1:8" ht="23.1" thickBot="1" x14ac:dyDescent="0.6">
      <c r="A92" s="44" t="s">
        <v>7095</v>
      </c>
      <c r="B92" s="37" t="s">
        <v>6481</v>
      </c>
      <c r="C92" s="35" t="s">
        <v>6790</v>
      </c>
      <c r="D92" s="35" t="s">
        <v>7096</v>
      </c>
      <c r="E92" s="35"/>
      <c r="F92" s="36"/>
      <c r="G92" s="35"/>
      <c r="H92" s="35"/>
    </row>
    <row r="93" spans="1:8" ht="14.7" thickBot="1" x14ac:dyDescent="0.6">
      <c r="A93" s="44"/>
      <c r="B93" s="37"/>
      <c r="C93" s="35" t="s">
        <v>6789</v>
      </c>
      <c r="D93" s="35" t="s">
        <v>7097</v>
      </c>
      <c r="E93" s="35"/>
      <c r="F93" s="36"/>
      <c r="G93" s="35"/>
      <c r="H93" s="35"/>
    </row>
    <row r="94" spans="1:8" ht="23.1" thickBot="1" x14ac:dyDescent="0.6">
      <c r="A94" s="44" t="s">
        <v>7098</v>
      </c>
      <c r="B94" s="37" t="s">
        <v>6710</v>
      </c>
      <c r="C94" s="35" t="s">
        <v>6790</v>
      </c>
      <c r="D94" s="35" t="s">
        <v>7099</v>
      </c>
      <c r="E94" s="35" t="s">
        <v>241</v>
      </c>
      <c r="F94" s="36">
        <v>0</v>
      </c>
      <c r="G94" s="35" t="s">
        <v>242</v>
      </c>
      <c r="H94" s="35" t="s">
        <v>244</v>
      </c>
    </row>
    <row r="95" spans="1:8" ht="23.1" thickBot="1" x14ac:dyDescent="0.6">
      <c r="A95" s="44"/>
      <c r="B95" s="37"/>
      <c r="C95" s="35" t="s">
        <v>6789</v>
      </c>
      <c r="D95" s="35" t="s">
        <v>7100</v>
      </c>
      <c r="E95" s="35"/>
      <c r="F95" s="36"/>
      <c r="G95" s="35"/>
      <c r="H95" s="35"/>
    </row>
    <row r="96" spans="1:8" ht="23.1" thickBot="1" x14ac:dyDescent="0.6">
      <c r="A96" s="44" t="s">
        <v>7101</v>
      </c>
      <c r="B96" s="37" t="s">
        <v>6410</v>
      </c>
      <c r="C96" s="35" t="s">
        <v>6783</v>
      </c>
      <c r="D96" s="35" t="s">
        <v>7102</v>
      </c>
      <c r="E96" s="35" t="s">
        <v>245</v>
      </c>
      <c r="F96" s="36">
        <v>0</v>
      </c>
      <c r="G96" s="35" t="s">
        <v>246</v>
      </c>
      <c r="H96" s="35" t="s">
        <v>248</v>
      </c>
    </row>
    <row r="97" spans="1:8" ht="23.1" thickBot="1" x14ac:dyDescent="0.6">
      <c r="A97" s="44" t="s">
        <v>7103</v>
      </c>
      <c r="B97" s="37" t="s">
        <v>6401</v>
      </c>
      <c r="C97" s="35" t="s">
        <v>6786</v>
      </c>
      <c r="D97" s="35" t="s">
        <v>7104</v>
      </c>
      <c r="E97" s="35" t="s">
        <v>249</v>
      </c>
      <c r="F97" s="36">
        <v>0</v>
      </c>
      <c r="G97" s="35" t="s">
        <v>250</v>
      </c>
      <c r="H97" s="35" t="s">
        <v>252</v>
      </c>
    </row>
    <row r="98" spans="1:8" ht="23.1" thickBot="1" x14ac:dyDescent="0.6">
      <c r="A98" s="44" t="s">
        <v>7105</v>
      </c>
      <c r="B98" s="37" t="s">
        <v>6550</v>
      </c>
      <c r="C98" s="35" t="s">
        <v>6786</v>
      </c>
      <c r="D98" s="35" t="s">
        <v>7106</v>
      </c>
      <c r="E98" s="35"/>
      <c r="F98" s="36"/>
      <c r="G98" s="35"/>
      <c r="H98" s="35"/>
    </row>
    <row r="99" spans="1:8" ht="23.1" thickBot="1" x14ac:dyDescent="0.6">
      <c r="A99" s="44" t="s">
        <v>7107</v>
      </c>
      <c r="B99" s="37" t="s">
        <v>6397</v>
      </c>
      <c r="C99" s="35" t="s">
        <v>6785</v>
      </c>
      <c r="D99" s="35" t="s">
        <v>7108</v>
      </c>
      <c r="E99" s="35" t="s">
        <v>253</v>
      </c>
      <c r="F99" s="36">
        <v>0</v>
      </c>
      <c r="G99" s="35" t="s">
        <v>254</v>
      </c>
      <c r="H99" s="35" t="s">
        <v>256</v>
      </c>
    </row>
    <row r="100" spans="1:8" ht="23.1" thickBot="1" x14ac:dyDescent="0.6">
      <c r="A100" s="44"/>
      <c r="B100" s="37"/>
      <c r="C100" s="35" t="s">
        <v>6786</v>
      </c>
      <c r="D100" s="35" t="s">
        <v>7109</v>
      </c>
      <c r="E100" s="35" t="s">
        <v>253</v>
      </c>
      <c r="F100" s="36">
        <v>0</v>
      </c>
      <c r="G100" s="35" t="s">
        <v>254</v>
      </c>
      <c r="H100" s="35" t="s">
        <v>256</v>
      </c>
    </row>
    <row r="101" spans="1:8" ht="23.1" thickBot="1" x14ac:dyDescent="0.6">
      <c r="A101" s="44"/>
      <c r="B101" s="37"/>
      <c r="C101" s="35"/>
      <c r="D101" s="35"/>
      <c r="E101" s="35" t="s">
        <v>257</v>
      </c>
      <c r="F101" s="36">
        <v>0</v>
      </c>
      <c r="G101" s="35" t="s">
        <v>258</v>
      </c>
      <c r="H101" s="35" t="s">
        <v>260</v>
      </c>
    </row>
    <row r="102" spans="1:8" ht="23.1" thickBot="1" x14ac:dyDescent="0.6">
      <c r="A102" s="44"/>
      <c r="B102" s="37"/>
      <c r="C102" s="35"/>
      <c r="D102" s="35"/>
      <c r="E102" s="35" t="s">
        <v>261</v>
      </c>
      <c r="F102" s="36">
        <v>0</v>
      </c>
      <c r="G102" s="35" t="s">
        <v>262</v>
      </c>
      <c r="H102" s="35" t="s">
        <v>264</v>
      </c>
    </row>
    <row r="103" spans="1:8" ht="23.1" thickBot="1" x14ac:dyDescent="0.6">
      <c r="A103" s="44" t="s">
        <v>7110</v>
      </c>
      <c r="B103" s="37" t="s">
        <v>6509</v>
      </c>
      <c r="C103" s="35" t="s">
        <v>6773</v>
      </c>
      <c r="D103" s="35" t="s">
        <v>7111</v>
      </c>
      <c r="E103" s="35" t="s">
        <v>265</v>
      </c>
      <c r="F103" s="36">
        <v>0</v>
      </c>
      <c r="G103" s="35" t="s">
        <v>266</v>
      </c>
      <c r="H103" s="35" t="s">
        <v>268</v>
      </c>
    </row>
    <row r="104" spans="1:8" ht="23.1" thickBot="1" x14ac:dyDescent="0.6">
      <c r="A104" s="44"/>
      <c r="B104" s="37"/>
      <c r="C104" s="35" t="s">
        <v>6774</v>
      </c>
      <c r="D104" s="35" t="s">
        <v>7112</v>
      </c>
      <c r="E104" s="35" t="s">
        <v>265</v>
      </c>
      <c r="F104" s="36">
        <v>0</v>
      </c>
      <c r="G104" s="35" t="s">
        <v>266</v>
      </c>
      <c r="H104" s="35" t="s">
        <v>268</v>
      </c>
    </row>
    <row r="105" spans="1:8" ht="23.1" thickBot="1" x14ac:dyDescent="0.6">
      <c r="A105" s="44" t="s">
        <v>7113</v>
      </c>
      <c r="B105" s="37" t="s">
        <v>6739</v>
      </c>
      <c r="C105" s="35" t="s">
        <v>6773</v>
      </c>
      <c r="D105" s="35" t="s">
        <v>7114</v>
      </c>
      <c r="E105" s="35" t="s">
        <v>269</v>
      </c>
      <c r="F105" s="36">
        <v>0</v>
      </c>
      <c r="G105" s="35" t="s">
        <v>270</v>
      </c>
      <c r="H105" s="35" t="s">
        <v>272</v>
      </c>
    </row>
    <row r="106" spans="1:8" ht="23.1" thickBot="1" x14ac:dyDescent="0.6">
      <c r="A106" s="44"/>
      <c r="B106" s="37"/>
      <c r="C106" s="35" t="s">
        <v>6774</v>
      </c>
      <c r="D106" s="35" t="s">
        <v>7115</v>
      </c>
      <c r="E106" s="35" t="s">
        <v>269</v>
      </c>
      <c r="F106" s="36">
        <v>0</v>
      </c>
      <c r="G106" s="35" t="s">
        <v>270</v>
      </c>
      <c r="H106" s="35" t="s">
        <v>272</v>
      </c>
    </row>
    <row r="107" spans="1:8" ht="23.1" thickBot="1" x14ac:dyDescent="0.6">
      <c r="A107" s="44" t="s">
        <v>7116</v>
      </c>
      <c r="B107" s="37" t="s">
        <v>6738</v>
      </c>
      <c r="C107" s="35" t="s">
        <v>6745</v>
      </c>
      <c r="D107" s="35" t="s">
        <v>7117</v>
      </c>
      <c r="E107" s="35" t="s">
        <v>273</v>
      </c>
      <c r="F107" s="36">
        <v>0</v>
      </c>
      <c r="G107" s="35" t="s">
        <v>274</v>
      </c>
      <c r="H107" s="35" t="s">
        <v>276</v>
      </c>
    </row>
    <row r="108" spans="1:8" ht="23.1" thickBot="1" x14ac:dyDescent="0.6">
      <c r="A108" s="44" t="s">
        <v>7118</v>
      </c>
      <c r="B108" s="37" t="s">
        <v>6726</v>
      </c>
      <c r="C108" s="35" t="s">
        <v>6780</v>
      </c>
      <c r="D108" s="35" t="s">
        <v>7119</v>
      </c>
      <c r="E108" s="35" t="s">
        <v>277</v>
      </c>
      <c r="F108" s="36">
        <v>0</v>
      </c>
      <c r="G108" s="35" t="s">
        <v>278</v>
      </c>
      <c r="H108" s="35" t="s">
        <v>280</v>
      </c>
    </row>
    <row r="109" spans="1:8" ht="23.1" thickBot="1" x14ac:dyDescent="0.6">
      <c r="A109" s="44"/>
      <c r="B109" s="37"/>
      <c r="C109" s="35" t="s">
        <v>6744</v>
      </c>
      <c r="D109" s="35" t="s">
        <v>7120</v>
      </c>
      <c r="E109" s="35" t="s">
        <v>277</v>
      </c>
      <c r="F109" s="36">
        <v>0</v>
      </c>
      <c r="G109" s="35" t="s">
        <v>278</v>
      </c>
      <c r="H109" s="35" t="s">
        <v>280</v>
      </c>
    </row>
    <row r="110" spans="1:8" ht="23.1" thickBot="1" x14ac:dyDescent="0.6">
      <c r="A110" s="44"/>
      <c r="B110" s="37"/>
      <c r="C110" s="35"/>
      <c r="D110" s="35"/>
      <c r="E110" s="35" t="s">
        <v>281</v>
      </c>
      <c r="F110" s="36">
        <v>0</v>
      </c>
      <c r="G110" s="35" t="s">
        <v>282</v>
      </c>
      <c r="H110" s="35" t="s">
        <v>284</v>
      </c>
    </row>
    <row r="111" spans="1:8" ht="23.1" thickBot="1" x14ac:dyDescent="0.6">
      <c r="A111" s="44"/>
      <c r="B111" s="37"/>
      <c r="C111" s="35"/>
      <c r="D111" s="35"/>
      <c r="E111" s="35" t="s">
        <v>285</v>
      </c>
      <c r="F111" s="36">
        <v>0</v>
      </c>
      <c r="G111" s="35" t="s">
        <v>286</v>
      </c>
      <c r="H111" s="35" t="s">
        <v>288</v>
      </c>
    </row>
    <row r="112" spans="1:8" ht="23.1" thickBot="1" x14ac:dyDescent="0.6">
      <c r="A112" s="44" t="s">
        <v>7121</v>
      </c>
      <c r="B112" s="37" t="s">
        <v>6670</v>
      </c>
      <c r="C112" s="35" t="s">
        <v>6773</v>
      </c>
      <c r="D112" s="35" t="s">
        <v>7122</v>
      </c>
      <c r="E112" s="35" t="s">
        <v>289</v>
      </c>
      <c r="F112" s="36">
        <v>0</v>
      </c>
      <c r="G112" s="35" t="s">
        <v>290</v>
      </c>
      <c r="H112" s="35" t="s">
        <v>292</v>
      </c>
    </row>
    <row r="113" spans="1:8" ht="23.1" thickBot="1" x14ac:dyDescent="0.6">
      <c r="A113" s="44"/>
      <c r="B113" s="37"/>
      <c r="C113" s="35" t="s">
        <v>6774</v>
      </c>
      <c r="D113" s="35" t="s">
        <v>7123</v>
      </c>
      <c r="E113" s="35" t="s">
        <v>289</v>
      </c>
      <c r="F113" s="36">
        <v>0</v>
      </c>
      <c r="G113" s="35" t="s">
        <v>290</v>
      </c>
      <c r="H113" s="35" t="s">
        <v>292</v>
      </c>
    </row>
    <row r="114" spans="1:8" ht="23.1" thickBot="1" x14ac:dyDescent="0.6">
      <c r="A114" s="44" t="s">
        <v>7124</v>
      </c>
      <c r="B114" s="37" t="s">
        <v>6370</v>
      </c>
      <c r="C114" s="35" t="s">
        <v>6773</v>
      </c>
      <c r="D114" s="35" t="s">
        <v>7125</v>
      </c>
      <c r="E114" s="35" t="s">
        <v>293</v>
      </c>
      <c r="F114" s="36">
        <v>0</v>
      </c>
      <c r="G114" s="35" t="s">
        <v>294</v>
      </c>
      <c r="H114" s="35" t="s">
        <v>296</v>
      </c>
    </row>
    <row r="115" spans="1:8" ht="23.1" thickBot="1" x14ac:dyDescent="0.6">
      <c r="A115" s="44"/>
      <c r="B115" s="37"/>
      <c r="C115" s="35" t="s">
        <v>6774</v>
      </c>
      <c r="D115" s="35" t="s">
        <v>7126</v>
      </c>
      <c r="E115" s="35" t="s">
        <v>293</v>
      </c>
      <c r="F115" s="36">
        <v>0</v>
      </c>
      <c r="G115" s="35" t="s">
        <v>294</v>
      </c>
      <c r="H115" s="35" t="s">
        <v>296</v>
      </c>
    </row>
    <row r="116" spans="1:8" ht="23.1" thickBot="1" x14ac:dyDescent="0.6">
      <c r="A116" s="44"/>
      <c r="B116" s="37"/>
      <c r="C116" s="35"/>
      <c r="D116" s="35"/>
      <c r="E116" s="35" t="s">
        <v>297</v>
      </c>
      <c r="F116" s="36">
        <v>0</v>
      </c>
      <c r="G116" s="35" t="s">
        <v>298</v>
      </c>
      <c r="H116" s="35" t="s">
        <v>300</v>
      </c>
    </row>
    <row r="117" spans="1:8" ht="23.1" thickBot="1" x14ac:dyDescent="0.6">
      <c r="A117" s="44"/>
      <c r="B117" s="37"/>
      <c r="C117" s="35"/>
      <c r="D117" s="35"/>
      <c r="E117" s="35" t="s">
        <v>301</v>
      </c>
      <c r="F117" s="36">
        <v>0</v>
      </c>
      <c r="G117" s="35" t="s">
        <v>302</v>
      </c>
      <c r="H117" s="35" t="s">
        <v>304</v>
      </c>
    </row>
    <row r="118" spans="1:8" ht="23.1" thickBot="1" x14ac:dyDescent="0.6">
      <c r="A118" s="44" t="s">
        <v>7127</v>
      </c>
      <c r="B118" s="37" t="s">
        <v>6499</v>
      </c>
      <c r="C118" s="35" t="s">
        <v>6773</v>
      </c>
      <c r="D118" s="35" t="s">
        <v>7128</v>
      </c>
      <c r="E118" s="35" t="s">
        <v>305</v>
      </c>
      <c r="F118" s="36">
        <v>0</v>
      </c>
      <c r="G118" s="35" t="s">
        <v>306</v>
      </c>
      <c r="H118" s="35" t="s">
        <v>308</v>
      </c>
    </row>
    <row r="119" spans="1:8" ht="23.1" thickBot="1" x14ac:dyDescent="0.6">
      <c r="A119" s="44"/>
      <c r="B119" s="37"/>
      <c r="C119" s="35" t="s">
        <v>6774</v>
      </c>
      <c r="D119" s="35" t="s">
        <v>7129</v>
      </c>
      <c r="E119" s="35" t="s">
        <v>305</v>
      </c>
      <c r="F119" s="36">
        <v>0</v>
      </c>
      <c r="G119" s="35" t="s">
        <v>306</v>
      </c>
      <c r="H119" s="35" t="s">
        <v>308</v>
      </c>
    </row>
    <row r="120" spans="1:8" ht="23.1" thickBot="1" x14ac:dyDescent="0.6">
      <c r="A120" s="44"/>
      <c r="B120" s="37"/>
      <c r="C120" s="35"/>
      <c r="D120" s="35"/>
      <c r="E120" s="35" t="s">
        <v>309</v>
      </c>
      <c r="F120" s="36">
        <v>0</v>
      </c>
      <c r="G120" s="35" t="s">
        <v>310</v>
      </c>
      <c r="H120" s="35" t="s">
        <v>312</v>
      </c>
    </row>
    <row r="121" spans="1:8" ht="23.1" thickBot="1" x14ac:dyDescent="0.6">
      <c r="A121" s="44"/>
      <c r="B121" s="37"/>
      <c r="C121" s="35"/>
      <c r="D121" s="35"/>
      <c r="E121" s="35" t="s">
        <v>313</v>
      </c>
      <c r="F121" s="36">
        <v>0</v>
      </c>
      <c r="G121" s="35" t="s">
        <v>314</v>
      </c>
      <c r="H121" s="35" t="s">
        <v>316</v>
      </c>
    </row>
    <row r="122" spans="1:8" ht="14.7" thickBot="1" x14ac:dyDescent="0.6">
      <c r="A122" s="44"/>
      <c r="B122" s="37"/>
      <c r="C122" s="35"/>
      <c r="D122" s="35"/>
      <c r="E122" s="35"/>
      <c r="F122" s="36"/>
      <c r="G122" s="35" t="s">
        <v>317</v>
      </c>
      <c r="H122" s="35" t="s">
        <v>318</v>
      </c>
    </row>
    <row r="123" spans="1:8" ht="23.1" thickBot="1" x14ac:dyDescent="0.6">
      <c r="A123" s="44"/>
      <c r="B123" s="37"/>
      <c r="C123" s="35"/>
      <c r="D123" s="35"/>
      <c r="E123" s="35" t="s">
        <v>319</v>
      </c>
      <c r="F123" s="36">
        <v>0</v>
      </c>
      <c r="G123" s="35" t="s">
        <v>320</v>
      </c>
      <c r="H123" s="35" t="s">
        <v>322</v>
      </c>
    </row>
    <row r="124" spans="1:8" ht="23.1" thickBot="1" x14ac:dyDescent="0.6">
      <c r="A124" s="44" t="s">
        <v>7130</v>
      </c>
      <c r="B124" s="37" t="s">
        <v>6355</v>
      </c>
      <c r="C124" s="35" t="s">
        <v>6752</v>
      </c>
      <c r="D124" s="35" t="s">
        <v>7131</v>
      </c>
      <c r="E124" s="35" t="s">
        <v>323</v>
      </c>
      <c r="F124" s="36">
        <v>0</v>
      </c>
      <c r="G124" s="35" t="s">
        <v>324</v>
      </c>
      <c r="H124" s="35" t="s">
        <v>326</v>
      </c>
    </row>
    <row r="125" spans="1:8" ht="23.1" thickBot="1" x14ac:dyDescent="0.6">
      <c r="A125" s="44"/>
      <c r="B125" s="37"/>
      <c r="C125" s="35" t="s">
        <v>6750</v>
      </c>
      <c r="D125" s="35" t="s">
        <v>7132</v>
      </c>
      <c r="E125" s="35" t="s">
        <v>323</v>
      </c>
      <c r="F125" s="36">
        <v>0</v>
      </c>
      <c r="G125" s="35" t="s">
        <v>324</v>
      </c>
      <c r="H125" s="35" t="s">
        <v>326</v>
      </c>
    </row>
    <row r="126" spans="1:8" ht="23.1" thickBot="1" x14ac:dyDescent="0.6">
      <c r="A126" s="44"/>
      <c r="B126" s="37"/>
      <c r="C126" s="35" t="s">
        <v>6751</v>
      </c>
      <c r="D126" s="35" t="s">
        <v>7133</v>
      </c>
      <c r="E126" s="35" t="s">
        <v>323</v>
      </c>
      <c r="F126" s="36">
        <v>0</v>
      </c>
      <c r="G126" s="35" t="s">
        <v>324</v>
      </c>
      <c r="H126" s="35" t="s">
        <v>326</v>
      </c>
    </row>
    <row r="127" spans="1:8" ht="23.1" thickBot="1" x14ac:dyDescent="0.6">
      <c r="A127" s="44" t="s">
        <v>7134</v>
      </c>
      <c r="B127" s="37" t="s">
        <v>6356</v>
      </c>
      <c r="C127" s="35" t="s">
        <v>6750</v>
      </c>
      <c r="D127" s="35" t="s">
        <v>7135</v>
      </c>
      <c r="E127" s="35" t="s">
        <v>327</v>
      </c>
      <c r="F127" s="36">
        <v>0</v>
      </c>
      <c r="G127" s="35" t="s">
        <v>328</v>
      </c>
      <c r="H127" s="35" t="s">
        <v>330</v>
      </c>
    </row>
    <row r="128" spans="1:8" ht="23.1" thickBot="1" x14ac:dyDescent="0.6">
      <c r="A128" s="44"/>
      <c r="B128" s="37"/>
      <c r="C128" s="35" t="s">
        <v>6751</v>
      </c>
      <c r="D128" s="35" t="s">
        <v>7136</v>
      </c>
      <c r="E128" s="35" t="s">
        <v>327</v>
      </c>
      <c r="F128" s="36">
        <v>0</v>
      </c>
      <c r="G128" s="35" t="s">
        <v>328</v>
      </c>
      <c r="H128" s="35" t="s">
        <v>330</v>
      </c>
    </row>
    <row r="129" spans="1:8" ht="23.1" thickBot="1" x14ac:dyDescent="0.6">
      <c r="A129" s="44" t="s">
        <v>7137</v>
      </c>
      <c r="B129" s="37" t="s">
        <v>6668</v>
      </c>
      <c r="C129" s="35" t="s">
        <v>6750</v>
      </c>
      <c r="D129" s="35" t="s">
        <v>7138</v>
      </c>
      <c r="E129" s="35" t="s">
        <v>331</v>
      </c>
      <c r="F129" s="36">
        <v>0</v>
      </c>
      <c r="G129" s="35" t="s">
        <v>332</v>
      </c>
      <c r="H129" s="35" t="s">
        <v>334</v>
      </c>
    </row>
    <row r="130" spans="1:8" ht="23.1" thickBot="1" x14ac:dyDescent="0.6">
      <c r="A130" s="44"/>
      <c r="B130" s="37"/>
      <c r="C130" s="35" t="s">
        <v>6751</v>
      </c>
      <c r="D130" s="35" t="s">
        <v>7139</v>
      </c>
      <c r="E130" s="35" t="s">
        <v>331</v>
      </c>
      <c r="F130" s="36">
        <v>0</v>
      </c>
      <c r="G130" s="35" t="s">
        <v>332</v>
      </c>
      <c r="H130" s="35" t="s">
        <v>334</v>
      </c>
    </row>
    <row r="131" spans="1:8" ht="23.1" thickBot="1" x14ac:dyDescent="0.6">
      <c r="A131" s="44"/>
      <c r="B131" s="37"/>
      <c r="C131" s="35"/>
      <c r="D131" s="35"/>
      <c r="E131" s="35" t="s">
        <v>335</v>
      </c>
      <c r="F131" s="36">
        <v>0</v>
      </c>
      <c r="G131" s="35" t="s">
        <v>336</v>
      </c>
      <c r="H131" s="35" t="s">
        <v>338</v>
      </c>
    </row>
    <row r="132" spans="1:8" ht="23.1" thickBot="1" x14ac:dyDescent="0.6">
      <c r="A132" s="44"/>
      <c r="B132" s="37"/>
      <c r="C132" s="35"/>
      <c r="D132" s="35"/>
      <c r="E132" s="35" t="s">
        <v>339</v>
      </c>
      <c r="F132" s="36">
        <v>0</v>
      </c>
      <c r="G132" s="35" t="s">
        <v>340</v>
      </c>
      <c r="H132" s="35" t="s">
        <v>342</v>
      </c>
    </row>
    <row r="133" spans="1:8" ht="23.1" thickBot="1" x14ac:dyDescent="0.6">
      <c r="A133" s="44" t="s">
        <v>7140</v>
      </c>
      <c r="B133" s="37" t="s">
        <v>6398</v>
      </c>
      <c r="C133" s="35" t="s">
        <v>6750</v>
      </c>
      <c r="D133" s="35" t="s">
        <v>7141</v>
      </c>
      <c r="E133" s="35" t="s">
        <v>343</v>
      </c>
      <c r="F133" s="36">
        <v>0</v>
      </c>
      <c r="G133" s="35" t="s">
        <v>344</v>
      </c>
      <c r="H133" s="35" t="s">
        <v>346</v>
      </c>
    </row>
    <row r="134" spans="1:8" ht="23.1" thickBot="1" x14ac:dyDescent="0.6">
      <c r="A134" s="44"/>
      <c r="B134" s="37"/>
      <c r="C134" s="35" t="s">
        <v>6751</v>
      </c>
      <c r="D134" s="35" t="s">
        <v>7142</v>
      </c>
      <c r="E134" s="35" t="s">
        <v>343</v>
      </c>
      <c r="F134" s="36">
        <v>0</v>
      </c>
      <c r="G134" s="35" t="s">
        <v>344</v>
      </c>
      <c r="H134" s="35" t="s">
        <v>346</v>
      </c>
    </row>
    <row r="135" spans="1:8" ht="23.1" thickBot="1" x14ac:dyDescent="0.6">
      <c r="A135" s="44" t="s">
        <v>7143</v>
      </c>
      <c r="B135" s="37" t="s">
        <v>6596</v>
      </c>
      <c r="C135" s="35" t="s">
        <v>6751</v>
      </c>
      <c r="D135" s="35" t="s">
        <v>7144</v>
      </c>
      <c r="E135" s="35" t="s">
        <v>347</v>
      </c>
      <c r="F135" s="36">
        <v>0</v>
      </c>
      <c r="G135" s="35" t="s">
        <v>348</v>
      </c>
      <c r="H135" s="35" t="s">
        <v>350</v>
      </c>
    </row>
    <row r="136" spans="1:8" ht="23.1" thickBot="1" x14ac:dyDescent="0.6">
      <c r="A136" s="44" t="s">
        <v>7145</v>
      </c>
      <c r="B136" s="37" t="s">
        <v>6451</v>
      </c>
      <c r="C136" s="35" t="s">
        <v>6751</v>
      </c>
      <c r="D136" s="35" t="s">
        <v>7146</v>
      </c>
      <c r="E136" s="35" t="s">
        <v>351</v>
      </c>
      <c r="F136" s="36">
        <v>0</v>
      </c>
      <c r="G136" s="35" t="s">
        <v>352</v>
      </c>
      <c r="H136" s="35" t="s">
        <v>354</v>
      </c>
    </row>
    <row r="137" spans="1:8" ht="23.1" thickBot="1" x14ac:dyDescent="0.6">
      <c r="A137" s="44" t="s">
        <v>7147</v>
      </c>
      <c r="B137" s="37" t="s">
        <v>6589</v>
      </c>
      <c r="C137" s="35" t="s">
        <v>6752</v>
      </c>
      <c r="D137" s="35" t="s">
        <v>7148</v>
      </c>
      <c r="E137" s="35" t="s">
        <v>355</v>
      </c>
      <c r="F137" s="36">
        <v>0</v>
      </c>
      <c r="G137" s="35" t="s">
        <v>356</v>
      </c>
      <c r="H137" s="35" t="s">
        <v>358</v>
      </c>
    </row>
    <row r="138" spans="1:8" ht="23.1" thickBot="1" x14ac:dyDescent="0.6">
      <c r="A138" s="44"/>
      <c r="B138" s="37"/>
      <c r="C138" s="35" t="s">
        <v>6750</v>
      </c>
      <c r="D138" s="35" t="s">
        <v>7149</v>
      </c>
      <c r="E138" s="35" t="s">
        <v>355</v>
      </c>
      <c r="F138" s="36">
        <v>0</v>
      </c>
      <c r="G138" s="35" t="s">
        <v>356</v>
      </c>
      <c r="H138" s="35" t="s">
        <v>358</v>
      </c>
    </row>
    <row r="139" spans="1:8" ht="23.1" thickBot="1" x14ac:dyDescent="0.6">
      <c r="A139" s="44" t="s">
        <v>7150</v>
      </c>
      <c r="B139" s="37" t="s">
        <v>6463</v>
      </c>
      <c r="C139" s="35" t="s">
        <v>6751</v>
      </c>
      <c r="D139" s="35" t="s">
        <v>7151</v>
      </c>
      <c r="E139" s="35" t="s">
        <v>359</v>
      </c>
      <c r="F139" s="36">
        <v>0</v>
      </c>
      <c r="G139" s="35" t="s">
        <v>360</v>
      </c>
      <c r="H139" s="35" t="s">
        <v>362</v>
      </c>
    </row>
    <row r="140" spans="1:8" ht="23.1" thickBot="1" x14ac:dyDescent="0.6">
      <c r="A140" s="44"/>
      <c r="B140" s="37"/>
      <c r="C140" s="35"/>
      <c r="D140" s="35"/>
      <c r="E140" s="35" t="s">
        <v>363</v>
      </c>
      <c r="F140" s="36">
        <v>0</v>
      </c>
      <c r="G140" s="35" t="s">
        <v>364</v>
      </c>
      <c r="H140" s="35" t="s">
        <v>366</v>
      </c>
    </row>
    <row r="141" spans="1:8" ht="23.1" thickBot="1" x14ac:dyDescent="0.6">
      <c r="A141" s="44" t="s">
        <v>7152</v>
      </c>
      <c r="B141" s="37" t="s">
        <v>6493</v>
      </c>
      <c r="C141" s="35" t="s">
        <v>6751</v>
      </c>
      <c r="D141" s="35" t="s">
        <v>7153</v>
      </c>
      <c r="E141" s="35" t="s">
        <v>367</v>
      </c>
      <c r="F141" s="36">
        <v>0</v>
      </c>
      <c r="G141" s="35" t="s">
        <v>368</v>
      </c>
      <c r="H141" s="35" t="s">
        <v>370</v>
      </c>
    </row>
    <row r="142" spans="1:8" ht="23.1" thickBot="1" x14ac:dyDescent="0.6">
      <c r="A142" s="44" t="s">
        <v>7154</v>
      </c>
      <c r="B142" s="37" t="s">
        <v>6494</v>
      </c>
      <c r="C142" s="35" t="s">
        <v>6751</v>
      </c>
      <c r="D142" s="35" t="s">
        <v>7155</v>
      </c>
      <c r="E142" s="35" t="s">
        <v>371</v>
      </c>
      <c r="F142" s="36">
        <v>0</v>
      </c>
      <c r="G142" s="35" t="s">
        <v>372</v>
      </c>
      <c r="H142" s="35" t="s">
        <v>374</v>
      </c>
    </row>
    <row r="143" spans="1:8" ht="23.1" thickBot="1" x14ac:dyDescent="0.6">
      <c r="A143" s="44" t="s">
        <v>7156</v>
      </c>
      <c r="B143" s="37" t="s">
        <v>6497</v>
      </c>
      <c r="C143" s="35" t="s">
        <v>6750</v>
      </c>
      <c r="D143" s="35" t="s">
        <v>7157</v>
      </c>
      <c r="E143" s="35" t="s">
        <v>375</v>
      </c>
      <c r="F143" s="36">
        <v>0</v>
      </c>
      <c r="G143" s="35" t="s">
        <v>376</v>
      </c>
      <c r="H143" s="35" t="s">
        <v>378</v>
      </c>
    </row>
    <row r="144" spans="1:8" ht="23.1" thickBot="1" x14ac:dyDescent="0.6">
      <c r="A144" s="44"/>
      <c r="B144" s="37"/>
      <c r="C144" s="35" t="s">
        <v>6751</v>
      </c>
      <c r="D144" s="35" t="s">
        <v>7158</v>
      </c>
      <c r="E144" s="35" t="s">
        <v>375</v>
      </c>
      <c r="F144" s="36">
        <v>0</v>
      </c>
      <c r="G144" s="35" t="s">
        <v>376</v>
      </c>
      <c r="H144" s="35" t="s">
        <v>378</v>
      </c>
    </row>
    <row r="145" spans="1:8" ht="23.1" thickBot="1" x14ac:dyDescent="0.6">
      <c r="A145" s="44" t="s">
        <v>7159</v>
      </c>
      <c r="B145" s="37" t="s">
        <v>6592</v>
      </c>
      <c r="C145" s="35" t="s">
        <v>6769</v>
      </c>
      <c r="D145" s="35" t="s">
        <v>7160</v>
      </c>
      <c r="E145" s="35" t="s">
        <v>379</v>
      </c>
      <c r="F145" s="36">
        <v>0</v>
      </c>
      <c r="G145" s="35" t="s">
        <v>380</v>
      </c>
      <c r="H145" s="35" t="s">
        <v>382</v>
      </c>
    </row>
    <row r="146" spans="1:8" ht="23.1" thickBot="1" x14ac:dyDescent="0.6">
      <c r="A146" s="44" t="s">
        <v>7161</v>
      </c>
      <c r="B146" s="37" t="s">
        <v>6548</v>
      </c>
      <c r="C146" s="35" t="s">
        <v>6768</v>
      </c>
      <c r="D146" s="35" t="s">
        <v>7162</v>
      </c>
      <c r="E146" s="35" t="s">
        <v>383</v>
      </c>
      <c r="F146" s="36">
        <v>0</v>
      </c>
      <c r="G146" s="35" t="s">
        <v>384</v>
      </c>
      <c r="H146" s="35" t="s">
        <v>386</v>
      </c>
    </row>
    <row r="147" spans="1:8" ht="23.1" thickBot="1" x14ac:dyDescent="0.6">
      <c r="A147" s="44"/>
      <c r="B147" s="37"/>
      <c r="C147" s="35" t="s">
        <v>6769</v>
      </c>
      <c r="D147" s="35" t="s">
        <v>7163</v>
      </c>
      <c r="E147" s="35" t="s">
        <v>383</v>
      </c>
      <c r="F147" s="36">
        <v>0</v>
      </c>
      <c r="G147" s="35" t="s">
        <v>384</v>
      </c>
      <c r="H147" s="35" t="s">
        <v>386</v>
      </c>
    </row>
    <row r="148" spans="1:8" ht="23.1" thickBot="1" x14ac:dyDescent="0.6">
      <c r="A148" s="44"/>
      <c r="B148" s="37"/>
      <c r="C148" s="35"/>
      <c r="D148" s="35"/>
      <c r="E148" s="35" t="s">
        <v>387</v>
      </c>
      <c r="F148" s="36">
        <v>0</v>
      </c>
      <c r="G148" s="35" t="s">
        <v>388</v>
      </c>
      <c r="H148" s="35" t="s">
        <v>390</v>
      </c>
    </row>
    <row r="149" spans="1:8" ht="23.1" thickBot="1" x14ac:dyDescent="0.6">
      <c r="A149" s="44"/>
      <c r="B149" s="37"/>
      <c r="C149" s="35"/>
      <c r="D149" s="35"/>
      <c r="E149" s="35" t="s">
        <v>391</v>
      </c>
      <c r="F149" s="36">
        <v>0</v>
      </c>
      <c r="G149" s="35" t="s">
        <v>392</v>
      </c>
      <c r="H149" s="35" t="s">
        <v>394</v>
      </c>
    </row>
    <row r="150" spans="1:8" ht="23.1" thickBot="1" x14ac:dyDescent="0.6">
      <c r="A150" s="44"/>
      <c r="B150" s="37"/>
      <c r="C150" s="35"/>
      <c r="D150" s="35"/>
      <c r="E150" s="35" t="s">
        <v>395</v>
      </c>
      <c r="F150" s="36">
        <v>0</v>
      </c>
      <c r="G150" s="35" t="s">
        <v>396</v>
      </c>
      <c r="H150" s="35" t="s">
        <v>398</v>
      </c>
    </row>
    <row r="151" spans="1:8" ht="23.1" thickBot="1" x14ac:dyDescent="0.6">
      <c r="A151" s="44" t="s">
        <v>7164</v>
      </c>
      <c r="B151" s="37" t="s">
        <v>6611</v>
      </c>
      <c r="C151" s="35" t="s">
        <v>6752</v>
      </c>
      <c r="D151" s="35" t="s">
        <v>7165</v>
      </c>
      <c r="E151" s="35" t="s">
        <v>399</v>
      </c>
      <c r="F151" s="36">
        <v>0</v>
      </c>
      <c r="G151" s="35" t="s">
        <v>400</v>
      </c>
      <c r="H151" s="35" t="s">
        <v>402</v>
      </c>
    </row>
    <row r="152" spans="1:8" ht="23.1" thickBot="1" x14ac:dyDescent="0.6">
      <c r="A152" s="44"/>
      <c r="B152" s="37"/>
      <c r="C152" s="35" t="s">
        <v>6751</v>
      </c>
      <c r="D152" s="35" t="s">
        <v>7166</v>
      </c>
      <c r="E152" s="35" t="s">
        <v>399</v>
      </c>
      <c r="F152" s="36">
        <v>0</v>
      </c>
      <c r="G152" s="35" t="s">
        <v>400</v>
      </c>
      <c r="H152" s="35" t="s">
        <v>402</v>
      </c>
    </row>
    <row r="153" spans="1:8" ht="23.1" thickBot="1" x14ac:dyDescent="0.6">
      <c r="A153" s="44"/>
      <c r="B153" s="37"/>
      <c r="C153" s="35"/>
      <c r="D153" s="35"/>
      <c r="E153" s="35" t="s">
        <v>403</v>
      </c>
      <c r="F153" s="36">
        <v>0</v>
      </c>
      <c r="G153" s="35" t="s">
        <v>404</v>
      </c>
      <c r="H153" s="35" t="s">
        <v>406</v>
      </c>
    </row>
    <row r="154" spans="1:8" ht="23.1" thickBot="1" x14ac:dyDescent="0.6">
      <c r="A154" s="44"/>
      <c r="B154" s="37"/>
      <c r="C154" s="35"/>
      <c r="D154" s="35"/>
      <c r="E154" s="35" t="s">
        <v>407</v>
      </c>
      <c r="F154" s="36">
        <v>0</v>
      </c>
      <c r="G154" s="35" t="s">
        <v>408</v>
      </c>
      <c r="H154" s="35" t="s">
        <v>410</v>
      </c>
    </row>
    <row r="155" spans="1:8" ht="23.1" thickBot="1" x14ac:dyDescent="0.6">
      <c r="A155" s="44" t="s">
        <v>7167</v>
      </c>
      <c r="B155" s="37" t="s">
        <v>6654</v>
      </c>
      <c r="C155" s="35" t="s">
        <v>6752</v>
      </c>
      <c r="D155" s="35" t="s">
        <v>7168</v>
      </c>
      <c r="E155" s="35" t="s">
        <v>411</v>
      </c>
      <c r="F155" s="36">
        <v>0</v>
      </c>
      <c r="G155" s="35" t="s">
        <v>412</v>
      </c>
      <c r="H155" s="35" t="s">
        <v>414</v>
      </c>
    </row>
    <row r="156" spans="1:8" ht="23.1" thickBot="1" x14ac:dyDescent="0.6">
      <c r="A156" s="44"/>
      <c r="B156" s="37"/>
      <c r="C156" s="35" t="s">
        <v>6750</v>
      </c>
      <c r="D156" s="35" t="s">
        <v>7169</v>
      </c>
      <c r="E156" s="35" t="s">
        <v>411</v>
      </c>
      <c r="F156" s="36">
        <v>0</v>
      </c>
      <c r="G156" s="35" t="s">
        <v>412</v>
      </c>
      <c r="H156" s="35" t="s">
        <v>414</v>
      </c>
    </row>
    <row r="157" spans="1:8" ht="23.1" thickBot="1" x14ac:dyDescent="0.6">
      <c r="A157" s="44" t="s">
        <v>7170</v>
      </c>
      <c r="B157" s="37" t="s">
        <v>6655</v>
      </c>
      <c r="C157" s="35" t="s">
        <v>6752</v>
      </c>
      <c r="D157" s="35" t="s">
        <v>7171</v>
      </c>
      <c r="E157" s="35" t="s">
        <v>415</v>
      </c>
      <c r="F157" s="36">
        <v>0</v>
      </c>
      <c r="G157" s="35" t="s">
        <v>416</v>
      </c>
      <c r="H157" s="35" t="s">
        <v>418</v>
      </c>
    </row>
    <row r="158" spans="1:8" ht="23.1" thickBot="1" x14ac:dyDescent="0.6">
      <c r="A158" s="44"/>
      <c r="B158" s="37"/>
      <c r="C158" s="35" t="s">
        <v>6751</v>
      </c>
      <c r="D158" s="35" t="s">
        <v>7172</v>
      </c>
      <c r="E158" s="35" t="s">
        <v>415</v>
      </c>
      <c r="F158" s="36">
        <v>0</v>
      </c>
      <c r="G158" s="35" t="s">
        <v>416</v>
      </c>
      <c r="H158" s="35" t="s">
        <v>418</v>
      </c>
    </row>
    <row r="159" spans="1:8" ht="23.1" thickBot="1" x14ac:dyDescent="0.6">
      <c r="A159" s="44" t="s">
        <v>7173</v>
      </c>
      <c r="B159" s="37" t="s">
        <v>6671</v>
      </c>
      <c r="C159" s="35" t="s">
        <v>6750</v>
      </c>
      <c r="D159" s="35" t="s">
        <v>7174</v>
      </c>
      <c r="E159" s="35" t="s">
        <v>419</v>
      </c>
      <c r="F159" s="36">
        <v>0</v>
      </c>
      <c r="G159" s="35" t="s">
        <v>420</v>
      </c>
      <c r="H159" s="35" t="s">
        <v>422</v>
      </c>
    </row>
    <row r="160" spans="1:8" ht="23.1" thickBot="1" x14ac:dyDescent="0.6">
      <c r="A160" s="44"/>
      <c r="B160" s="37"/>
      <c r="C160" s="35" t="s">
        <v>6751</v>
      </c>
      <c r="D160" s="35" t="s">
        <v>7175</v>
      </c>
      <c r="E160" s="35" t="s">
        <v>419</v>
      </c>
      <c r="F160" s="36">
        <v>0</v>
      </c>
      <c r="G160" s="35" t="s">
        <v>420</v>
      </c>
      <c r="H160" s="35" t="s">
        <v>422</v>
      </c>
    </row>
    <row r="161" spans="1:8" ht="23.1" thickBot="1" x14ac:dyDescent="0.6">
      <c r="A161" s="44" t="s">
        <v>7176</v>
      </c>
      <c r="B161" s="37" t="s">
        <v>6637</v>
      </c>
      <c r="C161" s="35" t="s">
        <v>6750</v>
      </c>
      <c r="D161" s="35" t="s">
        <v>7177</v>
      </c>
      <c r="E161" s="35" t="s">
        <v>423</v>
      </c>
      <c r="F161" s="36">
        <v>0</v>
      </c>
      <c r="G161" s="35" t="s">
        <v>424</v>
      </c>
      <c r="H161" s="35" t="s">
        <v>426</v>
      </c>
    </row>
    <row r="162" spans="1:8" ht="23.1" thickBot="1" x14ac:dyDescent="0.6">
      <c r="A162" s="44" t="s">
        <v>7178</v>
      </c>
      <c r="B162" s="37" t="s">
        <v>6354</v>
      </c>
      <c r="C162" s="35" t="s">
        <v>6750</v>
      </c>
      <c r="D162" s="35" t="s">
        <v>7179</v>
      </c>
      <c r="E162" s="35" t="s">
        <v>427</v>
      </c>
      <c r="F162" s="36">
        <v>0</v>
      </c>
      <c r="G162" s="35" t="s">
        <v>428</v>
      </c>
      <c r="H162" s="35" t="s">
        <v>430</v>
      </c>
    </row>
    <row r="163" spans="1:8" ht="23.1" thickBot="1" x14ac:dyDescent="0.6">
      <c r="A163" s="44"/>
      <c r="B163" s="37"/>
      <c r="C163" s="35" t="s">
        <v>6751</v>
      </c>
      <c r="D163" s="35" t="s">
        <v>7180</v>
      </c>
      <c r="E163" s="35" t="s">
        <v>427</v>
      </c>
      <c r="F163" s="36">
        <v>0</v>
      </c>
      <c r="G163" s="35" t="s">
        <v>428</v>
      </c>
      <c r="H163" s="35" t="s">
        <v>430</v>
      </c>
    </row>
    <row r="164" spans="1:8" ht="23.1" thickBot="1" x14ac:dyDescent="0.6">
      <c r="A164" s="44"/>
      <c r="B164" s="37"/>
      <c r="C164" s="35"/>
      <c r="D164" s="35"/>
      <c r="E164" s="35" t="s">
        <v>431</v>
      </c>
      <c r="F164" s="36">
        <v>0</v>
      </c>
      <c r="G164" s="35" t="s">
        <v>432</v>
      </c>
      <c r="H164" s="35" t="s">
        <v>434</v>
      </c>
    </row>
    <row r="165" spans="1:8" ht="23.1" thickBot="1" x14ac:dyDescent="0.6">
      <c r="A165" s="44"/>
      <c r="B165" s="37"/>
      <c r="C165" s="35"/>
      <c r="D165" s="35"/>
      <c r="E165" s="35" t="s">
        <v>435</v>
      </c>
      <c r="F165" s="36">
        <v>0</v>
      </c>
      <c r="G165" s="35" t="s">
        <v>436</v>
      </c>
      <c r="H165" s="35" t="s">
        <v>438</v>
      </c>
    </row>
    <row r="166" spans="1:8" ht="23.1" thickBot="1" x14ac:dyDescent="0.6">
      <c r="A166" s="44" t="s">
        <v>7181</v>
      </c>
      <c r="B166" s="37" t="s">
        <v>6688</v>
      </c>
      <c r="C166" s="35" t="s">
        <v>6750</v>
      </c>
      <c r="D166" s="35" t="s">
        <v>7182</v>
      </c>
      <c r="E166" s="35" t="s">
        <v>439</v>
      </c>
      <c r="F166" s="36">
        <v>0</v>
      </c>
      <c r="G166" s="35" t="s">
        <v>440</v>
      </c>
      <c r="H166" s="35" t="s">
        <v>442</v>
      </c>
    </row>
    <row r="167" spans="1:8" ht="23.1" thickBot="1" x14ac:dyDescent="0.6">
      <c r="A167" s="44"/>
      <c r="B167" s="37"/>
      <c r="C167" s="35" t="s">
        <v>6751</v>
      </c>
      <c r="D167" s="35" t="s">
        <v>7183</v>
      </c>
      <c r="E167" s="35" t="s">
        <v>439</v>
      </c>
      <c r="F167" s="36">
        <v>0</v>
      </c>
      <c r="G167" s="35" t="s">
        <v>440</v>
      </c>
      <c r="H167" s="35" t="s">
        <v>442</v>
      </c>
    </row>
    <row r="168" spans="1:8" ht="23.1" thickBot="1" x14ac:dyDescent="0.6">
      <c r="A168" s="44" t="s">
        <v>7184</v>
      </c>
      <c r="B168" s="37" t="s">
        <v>6741</v>
      </c>
      <c r="C168" s="35" t="s">
        <v>6750</v>
      </c>
      <c r="D168" s="35" t="s">
        <v>7185</v>
      </c>
      <c r="E168" s="35" t="s">
        <v>443</v>
      </c>
      <c r="F168" s="36">
        <v>0</v>
      </c>
      <c r="G168" s="35" t="s">
        <v>444</v>
      </c>
      <c r="H168" s="35" t="s">
        <v>446</v>
      </c>
    </row>
    <row r="169" spans="1:8" ht="23.1" thickBot="1" x14ac:dyDescent="0.6">
      <c r="A169" s="44"/>
      <c r="B169" s="37"/>
      <c r="C169" s="35" t="s">
        <v>6751</v>
      </c>
      <c r="D169" s="35" t="s">
        <v>7186</v>
      </c>
      <c r="E169" s="35" t="s">
        <v>443</v>
      </c>
      <c r="F169" s="36">
        <v>0</v>
      </c>
      <c r="G169" s="35" t="s">
        <v>444</v>
      </c>
      <c r="H169" s="35" t="s">
        <v>446</v>
      </c>
    </row>
    <row r="170" spans="1:8" ht="23.1" thickBot="1" x14ac:dyDescent="0.6">
      <c r="A170" s="44"/>
      <c r="B170" s="37"/>
      <c r="C170" s="35"/>
      <c r="D170" s="35"/>
      <c r="E170" s="35" t="s">
        <v>447</v>
      </c>
      <c r="F170" s="36">
        <v>0</v>
      </c>
      <c r="G170" s="35" t="s">
        <v>448</v>
      </c>
      <c r="H170" s="35" t="s">
        <v>450</v>
      </c>
    </row>
    <row r="171" spans="1:8" ht="23.1" thickBot="1" x14ac:dyDescent="0.6">
      <c r="A171" s="44"/>
      <c r="B171" s="37"/>
      <c r="C171" s="35"/>
      <c r="D171" s="35"/>
      <c r="E171" s="35" t="s">
        <v>451</v>
      </c>
      <c r="F171" s="36">
        <v>0</v>
      </c>
      <c r="G171" s="35" t="s">
        <v>452</v>
      </c>
      <c r="H171" s="35" t="s">
        <v>454</v>
      </c>
    </row>
    <row r="172" spans="1:8" ht="23.1" thickBot="1" x14ac:dyDescent="0.6">
      <c r="A172" s="44"/>
      <c r="B172" s="37"/>
      <c r="C172" s="35"/>
      <c r="D172" s="35"/>
      <c r="E172" s="35" t="s">
        <v>455</v>
      </c>
      <c r="F172" s="36">
        <v>0</v>
      </c>
      <c r="G172" s="35" t="s">
        <v>456</v>
      </c>
      <c r="H172" s="35" t="s">
        <v>458</v>
      </c>
    </row>
    <row r="173" spans="1:8" ht="23.1" thickBot="1" x14ac:dyDescent="0.6">
      <c r="A173" s="44"/>
      <c r="B173" s="37"/>
      <c r="C173" s="35"/>
      <c r="D173" s="35"/>
      <c r="E173" s="35" t="s">
        <v>459</v>
      </c>
      <c r="F173" s="36">
        <v>0</v>
      </c>
      <c r="G173" s="35" t="s">
        <v>460</v>
      </c>
      <c r="H173" s="35" t="s">
        <v>462</v>
      </c>
    </row>
    <row r="174" spans="1:8" ht="23.1" thickBot="1" x14ac:dyDescent="0.6">
      <c r="A174" s="44" t="s">
        <v>7187</v>
      </c>
      <c r="B174" s="37" t="s">
        <v>6462</v>
      </c>
      <c r="C174" s="35" t="s">
        <v>6806</v>
      </c>
      <c r="D174" s="35" t="s">
        <v>7188</v>
      </c>
      <c r="E174" s="35" t="s">
        <v>463</v>
      </c>
      <c r="F174" s="36">
        <v>0</v>
      </c>
      <c r="G174" s="35" t="s">
        <v>464</v>
      </c>
      <c r="H174" s="35" t="s">
        <v>466</v>
      </c>
    </row>
    <row r="175" spans="1:8" ht="23.1" thickBot="1" x14ac:dyDescent="0.6">
      <c r="A175" s="44"/>
      <c r="B175" s="37"/>
      <c r="C175" s="35" t="s">
        <v>6807</v>
      </c>
      <c r="D175" s="35" t="s">
        <v>7189</v>
      </c>
      <c r="E175" s="35" t="s">
        <v>463</v>
      </c>
      <c r="F175" s="36">
        <v>0</v>
      </c>
      <c r="G175" s="35" t="s">
        <v>464</v>
      </c>
      <c r="H175" s="35" t="s">
        <v>466</v>
      </c>
    </row>
    <row r="176" spans="1:8" ht="23.1" thickBot="1" x14ac:dyDescent="0.6">
      <c r="A176" s="44" t="s">
        <v>7190</v>
      </c>
      <c r="B176" s="37" t="s">
        <v>6527</v>
      </c>
      <c r="C176" s="35" t="s">
        <v>6806</v>
      </c>
      <c r="D176" s="35" t="s">
        <v>7191</v>
      </c>
      <c r="E176" s="35" t="s">
        <v>467</v>
      </c>
      <c r="F176" s="36">
        <v>0</v>
      </c>
      <c r="G176" s="35" t="s">
        <v>468</v>
      </c>
      <c r="H176" s="35" t="s">
        <v>470</v>
      </c>
    </row>
    <row r="177" spans="1:8" ht="23.1" thickBot="1" x14ac:dyDescent="0.6">
      <c r="A177" s="44"/>
      <c r="B177" s="37"/>
      <c r="C177" s="35" t="s">
        <v>6807</v>
      </c>
      <c r="D177" s="35" t="s">
        <v>7192</v>
      </c>
      <c r="E177" s="35" t="s">
        <v>467</v>
      </c>
      <c r="F177" s="36">
        <v>0</v>
      </c>
      <c r="G177" s="35" t="s">
        <v>468</v>
      </c>
      <c r="H177" s="35" t="s">
        <v>470</v>
      </c>
    </row>
    <row r="178" spans="1:8" ht="23.1" thickBot="1" x14ac:dyDescent="0.6">
      <c r="A178" s="44" t="s">
        <v>7193</v>
      </c>
      <c r="B178" s="37" t="s">
        <v>6367</v>
      </c>
      <c r="C178" s="35" t="s">
        <v>6768</v>
      </c>
      <c r="D178" s="35" t="s">
        <v>7194</v>
      </c>
      <c r="E178" s="35" t="s">
        <v>471</v>
      </c>
      <c r="F178" s="36">
        <v>0</v>
      </c>
      <c r="G178" s="35" t="s">
        <v>472</v>
      </c>
      <c r="H178" s="35" t="s">
        <v>474</v>
      </c>
    </row>
    <row r="179" spans="1:8" ht="23.1" thickBot="1" x14ac:dyDescent="0.6">
      <c r="A179" s="44"/>
      <c r="B179" s="37"/>
      <c r="C179" s="35" t="s">
        <v>6769</v>
      </c>
      <c r="D179" s="35" t="s">
        <v>7195</v>
      </c>
      <c r="E179" s="35" t="s">
        <v>471</v>
      </c>
      <c r="F179" s="36">
        <v>0</v>
      </c>
      <c r="G179" s="35" t="s">
        <v>472</v>
      </c>
      <c r="H179" s="35" t="s">
        <v>474</v>
      </c>
    </row>
    <row r="180" spans="1:8" ht="23.1" thickBot="1" x14ac:dyDescent="0.6">
      <c r="A180" s="44" t="s">
        <v>7196</v>
      </c>
      <c r="B180" s="37" t="s">
        <v>6389</v>
      </c>
      <c r="C180" s="35" t="s">
        <v>6771</v>
      </c>
      <c r="D180" s="35" t="s">
        <v>7197</v>
      </c>
      <c r="E180" s="35" t="s">
        <v>475</v>
      </c>
      <c r="F180" s="36">
        <v>0</v>
      </c>
      <c r="G180" s="35" t="s">
        <v>476</v>
      </c>
      <c r="H180" s="35" t="s">
        <v>478</v>
      </c>
    </row>
    <row r="181" spans="1:8" ht="23.1" thickBot="1" x14ac:dyDescent="0.6">
      <c r="A181" s="44"/>
      <c r="B181" s="37"/>
      <c r="C181" s="35" t="s">
        <v>6772</v>
      </c>
      <c r="D181" s="35" t="s">
        <v>7198</v>
      </c>
      <c r="E181" s="35" t="s">
        <v>475</v>
      </c>
      <c r="F181" s="36">
        <v>0</v>
      </c>
      <c r="G181" s="35" t="s">
        <v>476</v>
      </c>
      <c r="H181" s="35" t="s">
        <v>478</v>
      </c>
    </row>
    <row r="182" spans="1:8" ht="23.1" thickBot="1" x14ac:dyDescent="0.6">
      <c r="A182" s="44" t="s">
        <v>7199</v>
      </c>
      <c r="B182" s="37" t="s">
        <v>6582</v>
      </c>
      <c r="C182" s="35" t="s">
        <v>6771</v>
      </c>
      <c r="D182" s="35" t="s">
        <v>7200</v>
      </c>
      <c r="E182" s="35" t="s">
        <v>479</v>
      </c>
      <c r="F182" s="36">
        <v>0</v>
      </c>
      <c r="G182" s="35" t="s">
        <v>480</v>
      </c>
      <c r="H182" s="35" t="s">
        <v>482</v>
      </c>
    </row>
    <row r="183" spans="1:8" ht="23.1" thickBot="1" x14ac:dyDescent="0.6">
      <c r="A183" s="44"/>
      <c r="B183" s="37"/>
      <c r="C183" s="35" t="s">
        <v>6772</v>
      </c>
      <c r="D183" s="35" t="s">
        <v>7201</v>
      </c>
      <c r="E183" s="35" t="s">
        <v>479</v>
      </c>
      <c r="F183" s="36">
        <v>0</v>
      </c>
      <c r="G183" s="35" t="s">
        <v>480</v>
      </c>
      <c r="H183" s="35" t="s">
        <v>482</v>
      </c>
    </row>
    <row r="184" spans="1:8" ht="23.1" thickBot="1" x14ac:dyDescent="0.6">
      <c r="A184" s="44"/>
      <c r="B184" s="37"/>
      <c r="C184" s="35"/>
      <c r="D184" s="35"/>
      <c r="E184" s="35" t="s">
        <v>484</v>
      </c>
      <c r="F184" s="36">
        <v>0</v>
      </c>
      <c r="G184" s="35" t="s">
        <v>485</v>
      </c>
      <c r="H184" s="35" t="s">
        <v>483</v>
      </c>
    </row>
    <row r="185" spans="1:8" ht="23.1" thickBot="1" x14ac:dyDescent="0.6">
      <c r="A185" s="44"/>
      <c r="B185" s="37"/>
      <c r="C185" s="35"/>
      <c r="D185" s="35"/>
      <c r="E185" s="35" t="s">
        <v>487</v>
      </c>
      <c r="F185" s="36">
        <v>1</v>
      </c>
      <c r="G185" s="35" t="s">
        <v>488</v>
      </c>
      <c r="H185" s="35" t="s">
        <v>483</v>
      </c>
    </row>
    <row r="186" spans="1:8" ht="23.1" thickBot="1" x14ac:dyDescent="0.6">
      <c r="A186" s="44"/>
      <c r="B186" s="37"/>
      <c r="C186" s="35"/>
      <c r="D186" s="35"/>
      <c r="E186" s="35" t="s">
        <v>490</v>
      </c>
      <c r="F186" s="36">
        <v>2</v>
      </c>
      <c r="G186" s="35" t="s">
        <v>491</v>
      </c>
      <c r="H186" s="35" t="s">
        <v>483</v>
      </c>
    </row>
    <row r="187" spans="1:8" ht="23.1" thickBot="1" x14ac:dyDescent="0.6">
      <c r="A187" s="44"/>
      <c r="B187" s="37"/>
      <c r="C187" s="35"/>
      <c r="D187" s="35"/>
      <c r="E187" s="35" t="s">
        <v>493</v>
      </c>
      <c r="F187" s="36">
        <v>3</v>
      </c>
      <c r="G187" s="35" t="s">
        <v>494</v>
      </c>
      <c r="H187" s="35" t="s">
        <v>483</v>
      </c>
    </row>
    <row r="188" spans="1:8" ht="23.1" thickBot="1" x14ac:dyDescent="0.6">
      <c r="A188" s="44"/>
      <c r="B188" s="37"/>
      <c r="C188" s="35"/>
      <c r="D188" s="35"/>
      <c r="E188" s="35" t="s">
        <v>496</v>
      </c>
      <c r="F188" s="36">
        <v>4</v>
      </c>
      <c r="G188" s="35" t="s">
        <v>497</v>
      </c>
      <c r="H188" s="35" t="s">
        <v>483</v>
      </c>
    </row>
    <row r="189" spans="1:8" ht="23.1" thickBot="1" x14ac:dyDescent="0.6">
      <c r="A189" s="44"/>
      <c r="B189" s="37"/>
      <c r="C189" s="35"/>
      <c r="D189" s="35"/>
      <c r="E189" s="35" t="s">
        <v>499</v>
      </c>
      <c r="F189" s="36">
        <v>5</v>
      </c>
      <c r="G189" s="35" t="s">
        <v>500</v>
      </c>
      <c r="H189" s="35" t="s">
        <v>483</v>
      </c>
    </row>
    <row r="190" spans="1:8" ht="23.1" thickBot="1" x14ac:dyDescent="0.6">
      <c r="A190" s="44"/>
      <c r="B190" s="37"/>
      <c r="C190" s="35"/>
      <c r="D190" s="35"/>
      <c r="E190" s="35" t="s">
        <v>501</v>
      </c>
      <c r="F190" s="36">
        <v>6</v>
      </c>
      <c r="G190" s="35" t="s">
        <v>502</v>
      </c>
      <c r="H190" s="35" t="s">
        <v>483</v>
      </c>
    </row>
    <row r="191" spans="1:8" ht="23.1" thickBot="1" x14ac:dyDescent="0.6">
      <c r="A191" s="44"/>
      <c r="B191" s="37"/>
      <c r="C191" s="35"/>
      <c r="D191" s="35"/>
      <c r="E191" s="35" t="s">
        <v>504</v>
      </c>
      <c r="F191" s="36">
        <v>7</v>
      </c>
      <c r="G191" s="35" t="s">
        <v>505</v>
      </c>
      <c r="H191" s="35" t="s">
        <v>483</v>
      </c>
    </row>
    <row r="192" spans="1:8" ht="23.1" thickBot="1" x14ac:dyDescent="0.6">
      <c r="A192" s="44"/>
      <c r="B192" s="37"/>
      <c r="C192" s="35"/>
      <c r="D192" s="35"/>
      <c r="E192" s="35" t="s">
        <v>507</v>
      </c>
      <c r="F192" s="36">
        <v>8</v>
      </c>
      <c r="G192" s="35" t="s">
        <v>508</v>
      </c>
      <c r="H192" s="35" t="s">
        <v>483</v>
      </c>
    </row>
    <row r="193" spans="1:8" ht="23.1" thickBot="1" x14ac:dyDescent="0.6">
      <c r="A193" s="44"/>
      <c r="B193" s="37"/>
      <c r="C193" s="35"/>
      <c r="D193" s="35"/>
      <c r="E193" s="35" t="s">
        <v>510</v>
      </c>
      <c r="F193" s="36">
        <v>9</v>
      </c>
      <c r="G193" s="35" t="s">
        <v>511</v>
      </c>
      <c r="H193" s="35" t="s">
        <v>483</v>
      </c>
    </row>
    <row r="194" spans="1:8" ht="23.1" thickBot="1" x14ac:dyDescent="0.6">
      <c r="A194" s="44"/>
      <c r="B194" s="37"/>
      <c r="C194" s="35"/>
      <c r="D194" s="35"/>
      <c r="E194" s="35" t="s">
        <v>513</v>
      </c>
      <c r="F194" s="36">
        <v>10</v>
      </c>
      <c r="G194" s="35" t="s">
        <v>514</v>
      </c>
      <c r="H194" s="35" t="s">
        <v>483</v>
      </c>
    </row>
    <row r="195" spans="1:8" ht="23.1" thickBot="1" x14ac:dyDescent="0.6">
      <c r="A195" s="44"/>
      <c r="B195" s="37"/>
      <c r="C195" s="35"/>
      <c r="D195" s="35"/>
      <c r="E195" s="35" t="s">
        <v>516</v>
      </c>
      <c r="F195" s="36">
        <v>11</v>
      </c>
      <c r="G195" s="35" t="s">
        <v>517</v>
      </c>
      <c r="H195" s="35" t="s">
        <v>483</v>
      </c>
    </row>
    <row r="196" spans="1:8" ht="23.1" thickBot="1" x14ac:dyDescent="0.6">
      <c r="A196" s="44"/>
      <c r="B196" s="37"/>
      <c r="C196" s="35"/>
      <c r="D196" s="35"/>
      <c r="E196" s="35" t="s">
        <v>519</v>
      </c>
      <c r="F196" s="36">
        <v>12</v>
      </c>
      <c r="G196" s="35" t="s">
        <v>520</v>
      </c>
      <c r="H196" s="35" t="s">
        <v>483</v>
      </c>
    </row>
    <row r="197" spans="1:8" ht="23.1" thickBot="1" x14ac:dyDescent="0.6">
      <c r="A197" s="44"/>
      <c r="B197" s="37"/>
      <c r="C197" s="35"/>
      <c r="D197" s="35"/>
      <c r="E197" s="35" t="s">
        <v>522</v>
      </c>
      <c r="F197" s="36">
        <v>13</v>
      </c>
      <c r="G197" s="35" t="s">
        <v>523</v>
      </c>
      <c r="H197" s="35" t="s">
        <v>483</v>
      </c>
    </row>
    <row r="198" spans="1:8" ht="23.1" thickBot="1" x14ac:dyDescent="0.6">
      <c r="A198" s="44"/>
      <c r="B198" s="37"/>
      <c r="C198" s="35"/>
      <c r="D198" s="35"/>
      <c r="E198" s="35" t="s">
        <v>525</v>
      </c>
      <c r="F198" s="36">
        <v>14</v>
      </c>
      <c r="G198" s="35" t="s">
        <v>526</v>
      </c>
      <c r="H198" s="35" t="s">
        <v>483</v>
      </c>
    </row>
    <row r="199" spans="1:8" ht="23.1" thickBot="1" x14ac:dyDescent="0.6">
      <c r="A199" s="44"/>
      <c r="B199" s="37"/>
      <c r="C199" s="35"/>
      <c r="D199" s="35"/>
      <c r="E199" s="35" t="s">
        <v>528</v>
      </c>
      <c r="F199" s="36">
        <v>15</v>
      </c>
      <c r="G199" s="35" t="s">
        <v>529</v>
      </c>
      <c r="H199" s="35" t="s">
        <v>483</v>
      </c>
    </row>
    <row r="200" spans="1:8" ht="23.1" thickBot="1" x14ac:dyDescent="0.6">
      <c r="A200" s="44"/>
      <c r="B200" s="37"/>
      <c r="C200" s="35"/>
      <c r="D200" s="35"/>
      <c r="E200" s="35" t="s">
        <v>531</v>
      </c>
      <c r="F200" s="36">
        <v>16</v>
      </c>
      <c r="G200" s="35" t="s">
        <v>532</v>
      </c>
      <c r="H200" s="35" t="s">
        <v>483</v>
      </c>
    </row>
    <row r="201" spans="1:8" ht="23.1" thickBot="1" x14ac:dyDescent="0.6">
      <c r="A201" s="44"/>
      <c r="B201" s="37"/>
      <c r="C201" s="35"/>
      <c r="D201" s="35"/>
      <c r="E201" s="35" t="s">
        <v>534</v>
      </c>
      <c r="F201" s="36">
        <v>17</v>
      </c>
      <c r="G201" s="35" t="s">
        <v>535</v>
      </c>
      <c r="H201" s="35" t="s">
        <v>483</v>
      </c>
    </row>
    <row r="202" spans="1:8" ht="23.1" thickBot="1" x14ac:dyDescent="0.6">
      <c r="A202" s="44"/>
      <c r="B202" s="37"/>
      <c r="C202" s="35"/>
      <c r="D202" s="35"/>
      <c r="E202" s="35" t="s">
        <v>537</v>
      </c>
      <c r="F202" s="36">
        <v>18</v>
      </c>
      <c r="G202" s="35" t="s">
        <v>538</v>
      </c>
      <c r="H202" s="35" t="s">
        <v>483</v>
      </c>
    </row>
    <row r="203" spans="1:8" ht="23.1" thickBot="1" x14ac:dyDescent="0.6">
      <c r="A203" s="44"/>
      <c r="B203" s="37"/>
      <c r="C203" s="35"/>
      <c r="D203" s="35"/>
      <c r="E203" s="35" t="s">
        <v>540</v>
      </c>
      <c r="F203" s="36">
        <v>19</v>
      </c>
      <c r="G203" s="35" t="s">
        <v>541</v>
      </c>
      <c r="H203" s="35" t="s">
        <v>483</v>
      </c>
    </row>
    <row r="204" spans="1:8" ht="23.1" thickBot="1" x14ac:dyDescent="0.6">
      <c r="A204" s="44"/>
      <c r="B204" s="37"/>
      <c r="C204" s="35"/>
      <c r="D204" s="35"/>
      <c r="E204" s="35" t="s">
        <v>543</v>
      </c>
      <c r="F204" s="36">
        <v>20</v>
      </c>
      <c r="G204" s="35" t="s">
        <v>306</v>
      </c>
      <c r="H204" s="35" t="s">
        <v>483</v>
      </c>
    </row>
    <row r="205" spans="1:8" ht="23.1" thickBot="1" x14ac:dyDescent="0.6">
      <c r="A205" s="44"/>
      <c r="B205" s="37"/>
      <c r="C205" s="35"/>
      <c r="D205" s="35"/>
      <c r="E205" s="35" t="s">
        <v>545</v>
      </c>
      <c r="F205" s="36">
        <v>21</v>
      </c>
      <c r="G205" s="35" t="s">
        <v>546</v>
      </c>
      <c r="H205" s="35" t="s">
        <v>483</v>
      </c>
    </row>
    <row r="206" spans="1:8" ht="23.1" thickBot="1" x14ac:dyDescent="0.6">
      <c r="A206" s="44"/>
      <c r="B206" s="37"/>
      <c r="C206" s="35"/>
      <c r="D206" s="35"/>
      <c r="E206" s="35" t="s">
        <v>548</v>
      </c>
      <c r="F206" s="36">
        <v>22</v>
      </c>
      <c r="G206" s="35" t="s">
        <v>549</v>
      </c>
      <c r="H206" s="35" t="s">
        <v>483</v>
      </c>
    </row>
    <row r="207" spans="1:8" ht="23.1" thickBot="1" x14ac:dyDescent="0.6">
      <c r="A207" s="44"/>
      <c r="B207" s="37"/>
      <c r="C207" s="35"/>
      <c r="D207" s="35"/>
      <c r="E207" s="35" t="s">
        <v>551</v>
      </c>
      <c r="F207" s="36">
        <v>23</v>
      </c>
      <c r="G207" s="35" t="s">
        <v>552</v>
      </c>
      <c r="H207" s="35" t="s">
        <v>483</v>
      </c>
    </row>
    <row r="208" spans="1:8" ht="23.1" thickBot="1" x14ac:dyDescent="0.6">
      <c r="A208" s="44"/>
      <c r="B208" s="37"/>
      <c r="C208" s="35"/>
      <c r="D208" s="35"/>
      <c r="E208" s="35" t="s">
        <v>554</v>
      </c>
      <c r="F208" s="36">
        <v>24</v>
      </c>
      <c r="G208" s="35" t="s">
        <v>555</v>
      </c>
      <c r="H208" s="35" t="s">
        <v>483</v>
      </c>
    </row>
    <row r="209" spans="1:8" ht="23.1" thickBot="1" x14ac:dyDescent="0.6">
      <c r="A209" s="44"/>
      <c r="B209" s="37"/>
      <c r="C209" s="35"/>
      <c r="D209" s="35"/>
      <c r="E209" s="35" t="s">
        <v>557</v>
      </c>
      <c r="F209" s="36">
        <v>25</v>
      </c>
      <c r="G209" s="35" t="s">
        <v>558</v>
      </c>
      <c r="H209" s="35" t="s">
        <v>483</v>
      </c>
    </row>
    <row r="210" spans="1:8" ht="23.1" thickBot="1" x14ac:dyDescent="0.6">
      <c r="A210" s="44"/>
      <c r="B210" s="37"/>
      <c r="C210" s="35"/>
      <c r="D210" s="35"/>
      <c r="E210" s="35" t="s">
        <v>560</v>
      </c>
      <c r="F210" s="36">
        <v>26</v>
      </c>
      <c r="G210" s="35" t="s">
        <v>561</v>
      </c>
      <c r="H210" s="35" t="s">
        <v>483</v>
      </c>
    </row>
    <row r="211" spans="1:8" ht="23.1" thickBot="1" x14ac:dyDescent="0.6">
      <c r="A211" s="44"/>
      <c r="B211" s="37"/>
      <c r="C211" s="35"/>
      <c r="D211" s="35"/>
      <c r="E211" s="35" t="s">
        <v>563</v>
      </c>
      <c r="F211" s="36">
        <v>27</v>
      </c>
      <c r="G211" s="35" t="s">
        <v>564</v>
      </c>
      <c r="H211" s="35" t="s">
        <v>483</v>
      </c>
    </row>
    <row r="212" spans="1:8" ht="23.1" thickBot="1" x14ac:dyDescent="0.6">
      <c r="A212" s="44"/>
      <c r="B212" s="37"/>
      <c r="C212" s="35"/>
      <c r="D212" s="35"/>
      <c r="E212" s="35" t="s">
        <v>566</v>
      </c>
      <c r="F212" s="36">
        <v>28</v>
      </c>
      <c r="G212" s="35" t="s">
        <v>567</v>
      </c>
      <c r="H212" s="35" t="s">
        <v>483</v>
      </c>
    </row>
    <row r="213" spans="1:8" ht="23.1" thickBot="1" x14ac:dyDescent="0.6">
      <c r="A213" s="44"/>
      <c r="B213" s="37"/>
      <c r="C213" s="35"/>
      <c r="D213" s="35"/>
      <c r="E213" s="35" t="s">
        <v>569</v>
      </c>
      <c r="F213" s="36">
        <v>29</v>
      </c>
      <c r="G213" s="35" t="s">
        <v>570</v>
      </c>
      <c r="H213" s="35" t="s">
        <v>483</v>
      </c>
    </row>
    <row r="214" spans="1:8" ht="23.1" thickBot="1" x14ac:dyDescent="0.6">
      <c r="A214" s="44"/>
      <c r="B214" s="37"/>
      <c r="C214" s="35"/>
      <c r="D214" s="35"/>
      <c r="E214" s="35" t="s">
        <v>572</v>
      </c>
      <c r="F214" s="36">
        <v>30</v>
      </c>
      <c r="G214" s="35" t="s">
        <v>573</v>
      </c>
      <c r="H214" s="35" t="s">
        <v>483</v>
      </c>
    </row>
    <row r="215" spans="1:8" ht="23.1" thickBot="1" x14ac:dyDescent="0.6">
      <c r="A215" s="44"/>
      <c r="B215" s="37"/>
      <c r="C215" s="35"/>
      <c r="D215" s="35"/>
      <c r="E215" s="35" t="s">
        <v>575</v>
      </c>
      <c r="F215" s="36">
        <v>31</v>
      </c>
      <c r="G215" s="35" t="s">
        <v>576</v>
      </c>
      <c r="H215" s="35" t="s">
        <v>483</v>
      </c>
    </row>
    <row r="216" spans="1:8" ht="23.1" thickBot="1" x14ac:dyDescent="0.6">
      <c r="A216" s="44"/>
      <c r="B216" s="37"/>
      <c r="C216" s="35"/>
      <c r="D216" s="35"/>
      <c r="E216" s="35" t="s">
        <v>578</v>
      </c>
      <c r="F216" s="36">
        <v>33</v>
      </c>
      <c r="G216" s="35" t="s">
        <v>579</v>
      </c>
      <c r="H216" s="35" t="s">
        <v>483</v>
      </c>
    </row>
    <row r="217" spans="1:8" ht="23.1" thickBot="1" x14ac:dyDescent="0.6">
      <c r="A217" s="44"/>
      <c r="B217" s="37"/>
      <c r="C217" s="35"/>
      <c r="D217" s="35"/>
      <c r="E217" s="35" t="s">
        <v>581</v>
      </c>
      <c r="F217" s="36">
        <v>34</v>
      </c>
      <c r="G217" s="35" t="s">
        <v>582</v>
      </c>
      <c r="H217" s="35" t="s">
        <v>483</v>
      </c>
    </row>
    <row r="218" spans="1:8" ht="23.1" thickBot="1" x14ac:dyDescent="0.6">
      <c r="A218" s="44"/>
      <c r="B218" s="37"/>
      <c r="C218" s="35"/>
      <c r="D218" s="35"/>
      <c r="E218" s="35" t="s">
        <v>584</v>
      </c>
      <c r="F218" s="36">
        <v>35</v>
      </c>
      <c r="G218" s="35" t="s">
        <v>585</v>
      </c>
      <c r="H218" s="35" t="s">
        <v>483</v>
      </c>
    </row>
    <row r="219" spans="1:8" ht="23.1" thickBot="1" x14ac:dyDescent="0.6">
      <c r="A219" s="44"/>
      <c r="B219" s="37"/>
      <c r="C219" s="35"/>
      <c r="D219" s="35"/>
      <c r="E219" s="35" t="s">
        <v>587</v>
      </c>
      <c r="F219" s="36">
        <v>36</v>
      </c>
      <c r="G219" s="35" t="s">
        <v>588</v>
      </c>
      <c r="H219" s="35" t="s">
        <v>483</v>
      </c>
    </row>
    <row r="220" spans="1:8" ht="23.1" thickBot="1" x14ac:dyDescent="0.6">
      <c r="A220" s="44"/>
      <c r="B220" s="37"/>
      <c r="C220" s="35"/>
      <c r="D220" s="35"/>
      <c r="E220" s="35" t="s">
        <v>590</v>
      </c>
      <c r="F220" s="36">
        <v>37</v>
      </c>
      <c r="G220" s="35" t="s">
        <v>591</v>
      </c>
      <c r="H220" s="35" t="s">
        <v>483</v>
      </c>
    </row>
    <row r="221" spans="1:8" ht="23.1" thickBot="1" x14ac:dyDescent="0.6">
      <c r="A221" s="44"/>
      <c r="B221" s="37"/>
      <c r="C221" s="35"/>
      <c r="D221" s="35"/>
      <c r="E221" s="35" t="s">
        <v>593</v>
      </c>
      <c r="F221" s="36">
        <v>38</v>
      </c>
      <c r="G221" s="35" t="s">
        <v>594</v>
      </c>
      <c r="H221" s="35" t="s">
        <v>483</v>
      </c>
    </row>
    <row r="222" spans="1:8" ht="23.1" thickBot="1" x14ac:dyDescent="0.6">
      <c r="A222" s="44"/>
      <c r="B222" s="37"/>
      <c r="C222" s="35"/>
      <c r="D222" s="35"/>
      <c r="E222" s="35" t="s">
        <v>596</v>
      </c>
      <c r="F222" s="36">
        <v>39</v>
      </c>
      <c r="G222" s="35" t="s">
        <v>597</v>
      </c>
      <c r="H222" s="35" t="s">
        <v>483</v>
      </c>
    </row>
    <row r="223" spans="1:8" ht="23.1" thickBot="1" x14ac:dyDescent="0.6">
      <c r="A223" s="44"/>
      <c r="B223" s="37"/>
      <c r="C223" s="35"/>
      <c r="D223" s="35"/>
      <c r="E223" s="35" t="s">
        <v>598</v>
      </c>
      <c r="F223" s="36">
        <v>40</v>
      </c>
      <c r="G223" s="35" t="s">
        <v>599</v>
      </c>
      <c r="H223" s="35" t="s">
        <v>483</v>
      </c>
    </row>
    <row r="224" spans="1:8" ht="23.1" thickBot="1" x14ac:dyDescent="0.6">
      <c r="A224" s="44"/>
      <c r="B224" s="37"/>
      <c r="C224" s="35"/>
      <c r="D224" s="35"/>
      <c r="E224" s="35" t="s">
        <v>601</v>
      </c>
      <c r="F224" s="36">
        <v>50</v>
      </c>
      <c r="G224" s="35" t="s">
        <v>602</v>
      </c>
      <c r="H224" s="35" t="s">
        <v>483</v>
      </c>
    </row>
    <row r="225" spans="1:8" ht="23.1" thickBot="1" x14ac:dyDescent="0.6">
      <c r="A225" s="44"/>
      <c r="B225" s="37"/>
      <c r="C225" s="35"/>
      <c r="D225" s="35"/>
      <c r="E225" s="35" t="s">
        <v>604</v>
      </c>
      <c r="F225" s="36">
        <v>51</v>
      </c>
      <c r="G225" s="35" t="s">
        <v>605</v>
      </c>
      <c r="H225" s="35" t="s">
        <v>483</v>
      </c>
    </row>
    <row r="226" spans="1:8" ht="23.1" thickBot="1" x14ac:dyDescent="0.6">
      <c r="A226" s="44"/>
      <c r="B226" s="37"/>
      <c r="C226" s="35"/>
      <c r="D226" s="35"/>
      <c r="E226" s="35" t="s">
        <v>607</v>
      </c>
      <c r="F226" s="36">
        <v>52</v>
      </c>
      <c r="G226" s="35" t="s">
        <v>608</v>
      </c>
      <c r="H226" s="35" t="s">
        <v>483</v>
      </c>
    </row>
    <row r="227" spans="1:8" ht="23.1" thickBot="1" x14ac:dyDescent="0.6">
      <c r="A227" s="44"/>
      <c r="B227" s="37"/>
      <c r="C227" s="35"/>
      <c r="D227" s="35"/>
      <c r="E227" s="35" t="s">
        <v>610</v>
      </c>
      <c r="F227" s="36">
        <v>53</v>
      </c>
      <c r="G227" s="35" t="s">
        <v>611</v>
      </c>
      <c r="H227" s="35" t="s">
        <v>483</v>
      </c>
    </row>
    <row r="228" spans="1:8" ht="23.1" thickBot="1" x14ac:dyDescent="0.6">
      <c r="A228" s="44"/>
      <c r="B228" s="37"/>
      <c r="C228" s="35"/>
      <c r="D228" s="35"/>
      <c r="E228" s="35" t="s">
        <v>613</v>
      </c>
      <c r="F228" s="36">
        <v>54</v>
      </c>
      <c r="G228" s="35" t="s">
        <v>614</v>
      </c>
      <c r="H228" s="35" t="s">
        <v>483</v>
      </c>
    </row>
    <row r="229" spans="1:8" ht="23.1" thickBot="1" x14ac:dyDescent="0.6">
      <c r="A229" s="44"/>
      <c r="B229" s="37"/>
      <c r="C229" s="35"/>
      <c r="D229" s="35"/>
      <c r="E229" s="35" t="s">
        <v>615</v>
      </c>
      <c r="F229" s="36">
        <v>55</v>
      </c>
      <c r="G229" s="35" t="s">
        <v>616</v>
      </c>
      <c r="H229" s="35" t="s">
        <v>483</v>
      </c>
    </row>
    <row r="230" spans="1:8" ht="23.1" thickBot="1" x14ac:dyDescent="0.6">
      <c r="A230" s="44"/>
      <c r="B230" s="37"/>
      <c r="C230" s="35"/>
      <c r="D230" s="35"/>
      <c r="E230" s="35" t="s">
        <v>618</v>
      </c>
      <c r="F230" s="36">
        <v>56</v>
      </c>
      <c r="G230" s="35" t="s">
        <v>619</v>
      </c>
      <c r="H230" s="35" t="s">
        <v>483</v>
      </c>
    </row>
    <row r="231" spans="1:8" ht="23.1" thickBot="1" x14ac:dyDescent="0.6">
      <c r="A231" s="44"/>
      <c r="B231" s="37"/>
      <c r="C231" s="35"/>
      <c r="D231" s="35"/>
      <c r="E231" s="35" t="s">
        <v>621</v>
      </c>
      <c r="F231" s="36">
        <v>57</v>
      </c>
      <c r="G231" s="35" t="s">
        <v>622</v>
      </c>
      <c r="H231" s="35" t="s">
        <v>483</v>
      </c>
    </row>
    <row r="232" spans="1:8" ht="23.1" thickBot="1" x14ac:dyDescent="0.6">
      <c r="A232" s="44"/>
      <c r="B232" s="37"/>
      <c r="C232" s="35"/>
      <c r="D232" s="35"/>
      <c r="E232" s="35" t="s">
        <v>624</v>
      </c>
      <c r="F232" s="36">
        <v>58</v>
      </c>
      <c r="G232" s="35" t="s">
        <v>625</v>
      </c>
      <c r="H232" s="35" t="s">
        <v>483</v>
      </c>
    </row>
    <row r="233" spans="1:8" ht="23.1" thickBot="1" x14ac:dyDescent="0.6">
      <c r="A233" s="44"/>
      <c r="B233" s="37"/>
      <c r="C233" s="35"/>
      <c r="D233" s="35"/>
      <c r="E233" s="35" t="s">
        <v>627</v>
      </c>
      <c r="F233" s="36">
        <v>59</v>
      </c>
      <c r="G233" s="35" t="s">
        <v>628</v>
      </c>
      <c r="H233" s="35" t="s">
        <v>483</v>
      </c>
    </row>
    <row r="234" spans="1:8" ht="23.1" thickBot="1" x14ac:dyDescent="0.6">
      <c r="A234" s="44"/>
      <c r="B234" s="37"/>
      <c r="C234" s="35"/>
      <c r="D234" s="35"/>
      <c r="E234" s="35" t="s">
        <v>630</v>
      </c>
      <c r="F234" s="36">
        <v>60</v>
      </c>
      <c r="G234" s="35" t="s">
        <v>631</v>
      </c>
      <c r="H234" s="35" t="s">
        <v>483</v>
      </c>
    </row>
    <row r="235" spans="1:8" ht="23.1" thickBot="1" x14ac:dyDescent="0.6">
      <c r="A235" s="44"/>
      <c r="B235" s="37"/>
      <c r="C235" s="35"/>
      <c r="D235" s="35"/>
      <c r="E235" s="35" t="s">
        <v>633</v>
      </c>
      <c r="F235" s="36">
        <v>61</v>
      </c>
      <c r="G235" s="35" t="s">
        <v>634</v>
      </c>
      <c r="H235" s="35" t="s">
        <v>483</v>
      </c>
    </row>
    <row r="236" spans="1:8" ht="23.1" thickBot="1" x14ac:dyDescent="0.6">
      <c r="A236" s="44"/>
      <c r="B236" s="37"/>
      <c r="C236" s="35"/>
      <c r="D236" s="35"/>
      <c r="E236" s="35" t="s">
        <v>636</v>
      </c>
      <c r="F236" s="36">
        <v>62</v>
      </c>
      <c r="G236" s="35" t="s">
        <v>637</v>
      </c>
      <c r="H236" s="35" t="s">
        <v>483</v>
      </c>
    </row>
    <row r="237" spans="1:8" ht="23.1" thickBot="1" x14ac:dyDescent="0.6">
      <c r="A237" s="44"/>
      <c r="B237" s="37"/>
      <c r="C237" s="35"/>
      <c r="D237" s="35"/>
      <c r="E237" s="35" t="s">
        <v>639</v>
      </c>
      <c r="F237" s="36">
        <v>63</v>
      </c>
      <c r="G237" s="35" t="s">
        <v>640</v>
      </c>
      <c r="H237" s="35" t="s">
        <v>483</v>
      </c>
    </row>
    <row r="238" spans="1:8" ht="23.1" thickBot="1" x14ac:dyDescent="0.6">
      <c r="A238" s="44"/>
      <c r="B238" s="37"/>
      <c r="C238" s="35"/>
      <c r="D238" s="35"/>
      <c r="E238" s="35" t="s">
        <v>642</v>
      </c>
      <c r="F238" s="36">
        <v>64</v>
      </c>
      <c r="G238" s="35" t="s">
        <v>643</v>
      </c>
      <c r="H238" s="35" t="s">
        <v>483</v>
      </c>
    </row>
    <row r="239" spans="1:8" ht="23.1" thickBot="1" x14ac:dyDescent="0.6">
      <c r="A239" s="44"/>
      <c r="B239" s="37"/>
      <c r="C239" s="35"/>
      <c r="D239" s="35"/>
      <c r="E239" s="35" t="s">
        <v>645</v>
      </c>
      <c r="F239" s="36">
        <v>65</v>
      </c>
      <c r="G239" s="35" t="s">
        <v>646</v>
      </c>
      <c r="H239" s="35" t="s">
        <v>483</v>
      </c>
    </row>
    <row r="240" spans="1:8" ht="23.1" thickBot="1" x14ac:dyDescent="0.6">
      <c r="A240" s="44"/>
      <c r="B240" s="37"/>
      <c r="C240" s="35"/>
      <c r="D240" s="35"/>
      <c r="E240" s="35" t="s">
        <v>648</v>
      </c>
      <c r="F240" s="36">
        <v>66</v>
      </c>
      <c r="G240" s="35" t="s">
        <v>649</v>
      </c>
      <c r="H240" s="35" t="s">
        <v>483</v>
      </c>
    </row>
    <row r="241" spans="1:8" ht="23.1" thickBot="1" x14ac:dyDescent="0.6">
      <c r="A241" s="44"/>
      <c r="B241" s="37"/>
      <c r="C241" s="35"/>
      <c r="D241" s="35"/>
      <c r="E241" s="35" t="s">
        <v>651</v>
      </c>
      <c r="F241" s="36">
        <v>67</v>
      </c>
      <c r="G241" s="35" t="s">
        <v>652</v>
      </c>
      <c r="H241" s="35" t="s">
        <v>483</v>
      </c>
    </row>
    <row r="242" spans="1:8" ht="23.1" thickBot="1" x14ac:dyDescent="0.6">
      <c r="A242" s="44"/>
      <c r="B242" s="37"/>
      <c r="C242" s="35"/>
      <c r="D242" s="35"/>
      <c r="E242" s="35" t="s">
        <v>654</v>
      </c>
      <c r="F242" s="36">
        <v>68</v>
      </c>
      <c r="G242" s="35" t="s">
        <v>655</v>
      </c>
      <c r="H242" s="35" t="s">
        <v>483</v>
      </c>
    </row>
    <row r="243" spans="1:8" ht="23.1" thickBot="1" x14ac:dyDescent="0.6">
      <c r="A243" s="44"/>
      <c r="B243" s="37"/>
      <c r="C243" s="35"/>
      <c r="D243" s="35"/>
      <c r="E243" s="35" t="s">
        <v>657</v>
      </c>
      <c r="F243" s="36">
        <v>69</v>
      </c>
      <c r="G243" s="35" t="s">
        <v>658</v>
      </c>
      <c r="H243" s="35" t="s">
        <v>483</v>
      </c>
    </row>
    <row r="244" spans="1:8" ht="23.1" thickBot="1" x14ac:dyDescent="0.6">
      <c r="A244" s="44"/>
      <c r="B244" s="37"/>
      <c r="C244" s="35"/>
      <c r="D244" s="35"/>
      <c r="E244" s="35" t="s">
        <v>660</v>
      </c>
      <c r="F244" s="36">
        <v>70</v>
      </c>
      <c r="G244" s="35" t="s">
        <v>661</v>
      </c>
      <c r="H244" s="35" t="s">
        <v>483</v>
      </c>
    </row>
    <row r="245" spans="1:8" ht="23.1" thickBot="1" x14ac:dyDescent="0.6">
      <c r="A245" s="44"/>
      <c r="B245" s="37"/>
      <c r="C245" s="35"/>
      <c r="D245" s="35"/>
      <c r="E245" s="35" t="s">
        <v>663</v>
      </c>
      <c r="F245" s="36">
        <v>71</v>
      </c>
      <c r="G245" s="35" t="s">
        <v>664</v>
      </c>
      <c r="H245" s="35" t="s">
        <v>483</v>
      </c>
    </row>
    <row r="246" spans="1:8" ht="23.1" thickBot="1" x14ac:dyDescent="0.6">
      <c r="A246" s="44"/>
      <c r="B246" s="37"/>
      <c r="C246" s="35"/>
      <c r="D246" s="35"/>
      <c r="E246" s="35" t="s">
        <v>666</v>
      </c>
      <c r="F246" s="36">
        <v>72</v>
      </c>
      <c r="G246" s="35" t="s">
        <v>667</v>
      </c>
      <c r="H246" s="35" t="s">
        <v>483</v>
      </c>
    </row>
    <row r="247" spans="1:8" ht="23.1" thickBot="1" x14ac:dyDescent="0.6">
      <c r="A247" s="44"/>
      <c r="B247" s="37"/>
      <c r="C247" s="35"/>
      <c r="D247" s="35"/>
      <c r="E247" s="35" t="s">
        <v>669</v>
      </c>
      <c r="F247" s="36">
        <v>73</v>
      </c>
      <c r="G247" s="35" t="s">
        <v>670</v>
      </c>
      <c r="H247" s="35" t="s">
        <v>483</v>
      </c>
    </row>
    <row r="248" spans="1:8" ht="23.1" thickBot="1" x14ac:dyDescent="0.6">
      <c r="A248" s="44"/>
      <c r="B248" s="37"/>
      <c r="C248" s="35"/>
      <c r="D248" s="35"/>
      <c r="E248" s="35" t="s">
        <v>672</v>
      </c>
      <c r="F248" s="36">
        <v>74</v>
      </c>
      <c r="G248" s="35" t="s">
        <v>673</v>
      </c>
      <c r="H248" s="35" t="s">
        <v>483</v>
      </c>
    </row>
    <row r="249" spans="1:8" ht="23.1" thickBot="1" x14ac:dyDescent="0.6">
      <c r="A249" s="44"/>
      <c r="B249" s="37"/>
      <c r="C249" s="35"/>
      <c r="D249" s="35"/>
      <c r="E249" s="35" t="s">
        <v>675</v>
      </c>
      <c r="F249" s="36">
        <v>75</v>
      </c>
      <c r="G249" s="35" t="s">
        <v>676</v>
      </c>
      <c r="H249" s="35" t="s">
        <v>483</v>
      </c>
    </row>
    <row r="250" spans="1:8" ht="23.1" thickBot="1" x14ac:dyDescent="0.6">
      <c r="A250" s="44"/>
      <c r="B250" s="37"/>
      <c r="C250" s="35"/>
      <c r="D250" s="35"/>
      <c r="E250" s="35" t="s">
        <v>678</v>
      </c>
      <c r="F250" s="36">
        <v>76</v>
      </c>
      <c r="G250" s="35" t="s">
        <v>679</v>
      </c>
      <c r="H250" s="35" t="s">
        <v>483</v>
      </c>
    </row>
    <row r="251" spans="1:8" ht="23.1" thickBot="1" x14ac:dyDescent="0.6">
      <c r="A251" s="44"/>
      <c r="B251" s="37"/>
      <c r="C251" s="35"/>
      <c r="D251" s="35"/>
      <c r="E251" s="35" t="s">
        <v>681</v>
      </c>
      <c r="F251" s="36">
        <v>77</v>
      </c>
      <c r="G251" s="35" t="s">
        <v>682</v>
      </c>
      <c r="H251" s="35" t="s">
        <v>483</v>
      </c>
    </row>
    <row r="252" spans="1:8" ht="23.1" thickBot="1" x14ac:dyDescent="0.6">
      <c r="A252" s="44"/>
      <c r="B252" s="37"/>
      <c r="C252" s="35"/>
      <c r="D252" s="35"/>
      <c r="E252" s="35" t="s">
        <v>684</v>
      </c>
      <c r="F252" s="36">
        <v>78</v>
      </c>
      <c r="G252" s="35" t="s">
        <v>685</v>
      </c>
      <c r="H252" s="35" t="s">
        <v>483</v>
      </c>
    </row>
    <row r="253" spans="1:8" ht="23.1" thickBot="1" x14ac:dyDescent="0.6">
      <c r="A253" s="44"/>
      <c r="B253" s="37"/>
      <c r="C253" s="35"/>
      <c r="D253" s="35"/>
      <c r="E253" s="35" t="s">
        <v>687</v>
      </c>
      <c r="F253" s="36">
        <v>79</v>
      </c>
      <c r="G253" s="35" t="s">
        <v>688</v>
      </c>
      <c r="H253" s="35" t="s">
        <v>483</v>
      </c>
    </row>
    <row r="254" spans="1:8" ht="23.1" thickBot="1" x14ac:dyDescent="0.6">
      <c r="A254" s="44"/>
      <c r="B254" s="37"/>
      <c r="C254" s="35"/>
      <c r="D254" s="35"/>
      <c r="E254" s="35" t="s">
        <v>689</v>
      </c>
      <c r="F254" s="36">
        <v>80</v>
      </c>
      <c r="G254" s="35" t="s">
        <v>690</v>
      </c>
      <c r="H254" s="35" t="s">
        <v>483</v>
      </c>
    </row>
    <row r="255" spans="1:8" ht="23.1" thickBot="1" x14ac:dyDescent="0.6">
      <c r="A255" s="44"/>
      <c r="B255" s="37"/>
      <c r="C255" s="35"/>
      <c r="D255" s="35"/>
      <c r="E255" s="35" t="s">
        <v>691</v>
      </c>
      <c r="F255" s="36">
        <v>81</v>
      </c>
      <c r="G255" s="35" t="s">
        <v>692</v>
      </c>
      <c r="H255" s="35" t="s">
        <v>483</v>
      </c>
    </row>
    <row r="256" spans="1:8" ht="23.1" thickBot="1" x14ac:dyDescent="0.6">
      <c r="A256" s="44"/>
      <c r="B256" s="37"/>
      <c r="C256" s="35"/>
      <c r="D256" s="35"/>
      <c r="E256" s="35" t="s">
        <v>693</v>
      </c>
      <c r="F256" s="36">
        <v>82</v>
      </c>
      <c r="G256" s="35" t="s">
        <v>694</v>
      </c>
      <c r="H256" s="35" t="s">
        <v>483</v>
      </c>
    </row>
    <row r="257" spans="1:8" ht="23.1" thickBot="1" x14ac:dyDescent="0.6">
      <c r="A257" s="44"/>
      <c r="B257" s="37"/>
      <c r="C257" s="35"/>
      <c r="D257" s="35"/>
      <c r="E257" s="35" t="s">
        <v>696</v>
      </c>
      <c r="F257" s="36">
        <v>83</v>
      </c>
      <c r="G257" s="35" t="s">
        <v>697</v>
      </c>
      <c r="H257" s="35" t="s">
        <v>483</v>
      </c>
    </row>
    <row r="258" spans="1:8" ht="23.1" thickBot="1" x14ac:dyDescent="0.6">
      <c r="A258" s="44"/>
      <c r="B258" s="37"/>
      <c r="C258" s="35"/>
      <c r="D258" s="35"/>
      <c r="E258" s="35" t="s">
        <v>699</v>
      </c>
      <c r="F258" s="36">
        <v>84</v>
      </c>
      <c r="G258" s="35" t="s">
        <v>700</v>
      </c>
      <c r="H258" s="35" t="s">
        <v>483</v>
      </c>
    </row>
    <row r="259" spans="1:8" ht="23.1" thickBot="1" x14ac:dyDescent="0.6">
      <c r="A259" s="44"/>
      <c r="B259" s="37"/>
      <c r="C259" s="35"/>
      <c r="D259" s="35"/>
      <c r="E259" s="35" t="s">
        <v>702</v>
      </c>
      <c r="F259" s="36">
        <v>85</v>
      </c>
      <c r="G259" s="35" t="s">
        <v>703</v>
      </c>
      <c r="H259" s="35" t="s">
        <v>483</v>
      </c>
    </row>
    <row r="260" spans="1:8" ht="23.1" thickBot="1" x14ac:dyDescent="0.6">
      <c r="A260" s="44"/>
      <c r="B260" s="37"/>
      <c r="C260" s="35"/>
      <c r="D260" s="35"/>
      <c r="E260" s="35" t="s">
        <v>705</v>
      </c>
      <c r="F260" s="36">
        <v>86</v>
      </c>
      <c r="G260" s="35" t="s">
        <v>706</v>
      </c>
      <c r="H260" s="35" t="s">
        <v>483</v>
      </c>
    </row>
    <row r="261" spans="1:8" ht="23.1" thickBot="1" x14ac:dyDescent="0.6">
      <c r="A261" s="44"/>
      <c r="B261" s="37"/>
      <c r="C261" s="35"/>
      <c r="D261" s="35"/>
      <c r="E261" s="35" t="s">
        <v>708</v>
      </c>
      <c r="F261" s="36">
        <v>87</v>
      </c>
      <c r="G261" s="35" t="s">
        <v>709</v>
      </c>
      <c r="H261" s="35" t="s">
        <v>483</v>
      </c>
    </row>
    <row r="262" spans="1:8" ht="23.1" thickBot="1" x14ac:dyDescent="0.6">
      <c r="A262" s="44"/>
      <c r="B262" s="37"/>
      <c r="C262" s="35"/>
      <c r="D262" s="35"/>
      <c r="E262" s="35" t="s">
        <v>711</v>
      </c>
      <c r="F262" s="36">
        <v>88</v>
      </c>
      <c r="G262" s="35" t="s">
        <v>712</v>
      </c>
      <c r="H262" s="35" t="s">
        <v>483</v>
      </c>
    </row>
    <row r="263" spans="1:8" ht="23.1" thickBot="1" x14ac:dyDescent="0.6">
      <c r="A263" s="44"/>
      <c r="B263" s="37"/>
      <c r="C263" s="35"/>
      <c r="D263" s="35"/>
      <c r="E263" s="35" t="s">
        <v>714</v>
      </c>
      <c r="F263" s="36">
        <v>89</v>
      </c>
      <c r="G263" s="35" t="s">
        <v>715</v>
      </c>
      <c r="H263" s="35" t="s">
        <v>483</v>
      </c>
    </row>
    <row r="264" spans="1:8" ht="23.1" thickBot="1" x14ac:dyDescent="0.6">
      <c r="A264" s="44"/>
      <c r="B264" s="37"/>
      <c r="C264" s="35"/>
      <c r="D264" s="35"/>
      <c r="E264" s="35" t="s">
        <v>717</v>
      </c>
      <c r="F264" s="36">
        <v>90</v>
      </c>
      <c r="G264" s="35" t="s">
        <v>718</v>
      </c>
      <c r="H264" s="35" t="s">
        <v>483</v>
      </c>
    </row>
    <row r="265" spans="1:8" ht="23.1" thickBot="1" x14ac:dyDescent="0.6">
      <c r="A265" s="44"/>
      <c r="B265" s="37"/>
      <c r="C265" s="35"/>
      <c r="D265" s="35"/>
      <c r="E265" s="35" t="s">
        <v>720</v>
      </c>
      <c r="F265" s="36">
        <v>91</v>
      </c>
      <c r="G265" s="35" t="s">
        <v>721</v>
      </c>
      <c r="H265" s="35" t="s">
        <v>483</v>
      </c>
    </row>
    <row r="266" spans="1:8" ht="23.1" thickBot="1" x14ac:dyDescent="0.6">
      <c r="A266" s="44"/>
      <c r="B266" s="37"/>
      <c r="C266" s="35"/>
      <c r="D266" s="35"/>
      <c r="E266" s="35" t="s">
        <v>723</v>
      </c>
      <c r="F266" s="36">
        <v>92</v>
      </c>
      <c r="G266" s="35" t="s">
        <v>724</v>
      </c>
      <c r="H266" s="35" t="s">
        <v>483</v>
      </c>
    </row>
    <row r="267" spans="1:8" ht="23.1" thickBot="1" x14ac:dyDescent="0.6">
      <c r="A267" s="44"/>
      <c r="B267" s="37"/>
      <c r="C267" s="35"/>
      <c r="D267" s="35"/>
      <c r="E267" s="35" t="s">
        <v>726</v>
      </c>
      <c r="F267" s="36">
        <v>93</v>
      </c>
      <c r="G267" s="35" t="s">
        <v>727</v>
      </c>
      <c r="H267" s="35" t="s">
        <v>483</v>
      </c>
    </row>
    <row r="268" spans="1:8" ht="23.1" thickBot="1" x14ac:dyDescent="0.6">
      <c r="A268" s="44"/>
      <c r="B268" s="37"/>
      <c r="C268" s="35"/>
      <c r="D268" s="35"/>
      <c r="E268" s="35" t="s">
        <v>728</v>
      </c>
      <c r="F268" s="36">
        <v>94</v>
      </c>
      <c r="G268" s="35" t="s">
        <v>729</v>
      </c>
      <c r="H268" s="35" t="s">
        <v>483</v>
      </c>
    </row>
    <row r="269" spans="1:8" ht="23.1" thickBot="1" x14ac:dyDescent="0.6">
      <c r="A269" s="44"/>
      <c r="B269" s="37"/>
      <c r="C269" s="35"/>
      <c r="D269" s="35"/>
      <c r="E269" s="35" t="s">
        <v>731</v>
      </c>
      <c r="F269" s="36">
        <v>95</v>
      </c>
      <c r="G269" s="35" t="s">
        <v>732</v>
      </c>
      <c r="H269" s="35" t="s">
        <v>483</v>
      </c>
    </row>
    <row r="270" spans="1:8" ht="23.1" thickBot="1" x14ac:dyDescent="0.6">
      <c r="A270" s="44"/>
      <c r="B270" s="37"/>
      <c r="C270" s="35"/>
      <c r="D270" s="35"/>
      <c r="E270" s="35" t="s">
        <v>734</v>
      </c>
      <c r="F270" s="36">
        <v>96</v>
      </c>
      <c r="G270" s="35" t="s">
        <v>735</v>
      </c>
      <c r="H270" s="35" t="s">
        <v>483</v>
      </c>
    </row>
    <row r="271" spans="1:8" ht="23.1" thickBot="1" x14ac:dyDescent="0.6">
      <c r="A271" s="44"/>
      <c r="B271" s="37"/>
      <c r="C271" s="35"/>
      <c r="D271" s="35"/>
      <c r="E271" s="35" t="s">
        <v>737</v>
      </c>
      <c r="F271" s="36">
        <v>97</v>
      </c>
      <c r="G271" s="35" t="s">
        <v>738</v>
      </c>
      <c r="H271" s="35" t="s">
        <v>483</v>
      </c>
    </row>
    <row r="272" spans="1:8" ht="23.1" thickBot="1" x14ac:dyDescent="0.6">
      <c r="A272" s="44"/>
      <c r="B272" s="37"/>
      <c r="C272" s="35"/>
      <c r="D272" s="35"/>
      <c r="E272" s="35" t="s">
        <v>740</v>
      </c>
      <c r="F272" s="36">
        <v>98</v>
      </c>
      <c r="G272" s="35" t="s">
        <v>741</v>
      </c>
      <c r="H272" s="35" t="s">
        <v>483</v>
      </c>
    </row>
    <row r="273" spans="1:8" ht="23.1" thickBot="1" x14ac:dyDescent="0.6">
      <c r="A273" s="44"/>
      <c r="B273" s="37"/>
      <c r="C273" s="35"/>
      <c r="D273" s="35"/>
      <c r="E273" s="35" t="s">
        <v>743</v>
      </c>
      <c r="F273" s="36">
        <v>99</v>
      </c>
      <c r="G273" s="35" t="s">
        <v>744</v>
      </c>
      <c r="H273" s="35" t="s">
        <v>483</v>
      </c>
    </row>
    <row r="274" spans="1:8" ht="23.1" thickBot="1" x14ac:dyDescent="0.6">
      <c r="A274" s="44"/>
      <c r="B274" s="37"/>
      <c r="C274" s="35"/>
      <c r="D274" s="35"/>
      <c r="E274" s="35" t="s">
        <v>746</v>
      </c>
      <c r="F274" s="36">
        <v>100</v>
      </c>
      <c r="G274" s="35" t="s">
        <v>747</v>
      </c>
      <c r="H274" s="35" t="s">
        <v>483</v>
      </c>
    </row>
    <row r="275" spans="1:8" ht="23.1" thickBot="1" x14ac:dyDescent="0.6">
      <c r="A275" s="44"/>
      <c r="B275" s="37"/>
      <c r="C275" s="35"/>
      <c r="D275" s="35"/>
      <c r="E275" s="35" t="s">
        <v>749</v>
      </c>
      <c r="F275" s="36">
        <v>101</v>
      </c>
      <c r="G275" s="35" t="s">
        <v>750</v>
      </c>
      <c r="H275" s="35" t="s">
        <v>483</v>
      </c>
    </row>
    <row r="276" spans="1:8" ht="23.1" thickBot="1" x14ac:dyDescent="0.6">
      <c r="A276" s="44"/>
      <c r="B276" s="37"/>
      <c r="C276" s="35"/>
      <c r="D276" s="35"/>
      <c r="E276" s="35" t="s">
        <v>752</v>
      </c>
      <c r="F276" s="36">
        <v>102</v>
      </c>
      <c r="G276" s="35" t="s">
        <v>753</v>
      </c>
      <c r="H276" s="35" t="s">
        <v>483</v>
      </c>
    </row>
    <row r="277" spans="1:8" ht="23.1" thickBot="1" x14ac:dyDescent="0.6">
      <c r="A277" s="44"/>
      <c r="B277" s="37"/>
      <c r="C277" s="35"/>
      <c r="D277" s="35"/>
      <c r="E277" s="35" t="s">
        <v>755</v>
      </c>
      <c r="F277" s="36">
        <v>103</v>
      </c>
      <c r="G277" s="35" t="s">
        <v>756</v>
      </c>
      <c r="H277" s="35" t="s">
        <v>483</v>
      </c>
    </row>
    <row r="278" spans="1:8" ht="23.1" thickBot="1" x14ac:dyDescent="0.6">
      <c r="A278" s="44"/>
      <c r="B278" s="37"/>
      <c r="C278" s="35"/>
      <c r="D278" s="35"/>
      <c r="E278" s="35" t="s">
        <v>758</v>
      </c>
      <c r="F278" s="36">
        <v>104</v>
      </c>
      <c r="G278" s="35" t="s">
        <v>759</v>
      </c>
      <c r="H278" s="35" t="s">
        <v>483</v>
      </c>
    </row>
    <row r="279" spans="1:8" ht="23.1" thickBot="1" x14ac:dyDescent="0.6">
      <c r="A279" s="44"/>
      <c r="B279" s="37"/>
      <c r="C279" s="35"/>
      <c r="D279" s="35"/>
      <c r="E279" s="35" t="s">
        <v>761</v>
      </c>
      <c r="F279" s="36">
        <v>105</v>
      </c>
      <c r="G279" s="35" t="s">
        <v>762</v>
      </c>
      <c r="H279" s="35" t="s">
        <v>483</v>
      </c>
    </row>
    <row r="280" spans="1:8" ht="23.1" thickBot="1" x14ac:dyDescent="0.6">
      <c r="A280" s="44"/>
      <c r="B280" s="37"/>
      <c r="C280" s="35"/>
      <c r="D280" s="35"/>
      <c r="E280" s="35" t="s">
        <v>764</v>
      </c>
      <c r="F280" s="36">
        <v>106</v>
      </c>
      <c r="G280" s="35" t="s">
        <v>765</v>
      </c>
      <c r="H280" s="35" t="s">
        <v>483</v>
      </c>
    </row>
    <row r="281" spans="1:8" ht="23.1" thickBot="1" x14ac:dyDescent="0.6">
      <c r="A281" s="44"/>
      <c r="B281" s="37"/>
      <c r="C281" s="35"/>
      <c r="D281" s="35"/>
      <c r="E281" s="35" t="s">
        <v>767</v>
      </c>
      <c r="F281" s="36">
        <v>107</v>
      </c>
      <c r="G281" s="35" t="s">
        <v>768</v>
      </c>
      <c r="H281" s="35" t="s">
        <v>483</v>
      </c>
    </row>
    <row r="282" spans="1:8" ht="23.1" thickBot="1" x14ac:dyDescent="0.6">
      <c r="A282" s="44"/>
      <c r="B282" s="37"/>
      <c r="C282" s="35"/>
      <c r="D282" s="35"/>
      <c r="E282" s="35" t="s">
        <v>770</v>
      </c>
      <c r="F282" s="36">
        <v>108</v>
      </c>
      <c r="G282" s="35" t="s">
        <v>771</v>
      </c>
      <c r="H282" s="35" t="s">
        <v>483</v>
      </c>
    </row>
    <row r="283" spans="1:8" ht="23.1" thickBot="1" x14ac:dyDescent="0.6">
      <c r="A283" s="44"/>
      <c r="B283" s="37"/>
      <c r="C283" s="35"/>
      <c r="D283" s="35"/>
      <c r="E283" s="35" t="s">
        <v>773</v>
      </c>
      <c r="F283" s="36">
        <v>109</v>
      </c>
      <c r="G283" s="35" t="s">
        <v>774</v>
      </c>
      <c r="H283" s="35" t="s">
        <v>483</v>
      </c>
    </row>
    <row r="284" spans="1:8" ht="23.1" thickBot="1" x14ac:dyDescent="0.6">
      <c r="A284" s="44"/>
      <c r="B284" s="37"/>
      <c r="C284" s="35"/>
      <c r="D284" s="35"/>
      <c r="E284" s="35" t="s">
        <v>776</v>
      </c>
      <c r="F284" s="36">
        <v>110</v>
      </c>
      <c r="G284" s="35" t="s">
        <v>777</v>
      </c>
      <c r="H284" s="35" t="s">
        <v>483</v>
      </c>
    </row>
    <row r="285" spans="1:8" ht="23.1" thickBot="1" x14ac:dyDescent="0.6">
      <c r="A285" s="44"/>
      <c r="B285" s="37"/>
      <c r="C285" s="35"/>
      <c r="D285" s="35"/>
      <c r="E285" s="35" t="s">
        <v>779</v>
      </c>
      <c r="F285" s="36">
        <v>111</v>
      </c>
      <c r="G285" s="35" t="s">
        <v>780</v>
      </c>
      <c r="H285" s="35" t="s">
        <v>483</v>
      </c>
    </row>
    <row r="286" spans="1:8" ht="23.1" thickBot="1" x14ac:dyDescent="0.6">
      <c r="A286" s="44"/>
      <c r="B286" s="37"/>
      <c r="C286" s="35"/>
      <c r="D286" s="35"/>
      <c r="E286" s="35" t="s">
        <v>782</v>
      </c>
      <c r="F286" s="36">
        <v>112</v>
      </c>
      <c r="G286" s="35" t="s">
        <v>783</v>
      </c>
      <c r="H286" s="35" t="s">
        <v>483</v>
      </c>
    </row>
    <row r="287" spans="1:8" ht="23.1" thickBot="1" x14ac:dyDescent="0.6">
      <c r="A287" s="44"/>
      <c r="B287" s="37"/>
      <c r="C287" s="35"/>
      <c r="D287" s="35"/>
      <c r="E287" s="35" t="s">
        <v>785</v>
      </c>
      <c r="F287" s="36">
        <v>113</v>
      </c>
      <c r="G287" s="35" t="s">
        <v>786</v>
      </c>
      <c r="H287" s="35" t="s">
        <v>483</v>
      </c>
    </row>
    <row r="288" spans="1:8" ht="23.1" thickBot="1" x14ac:dyDescent="0.6">
      <c r="A288" s="44"/>
      <c r="B288" s="37"/>
      <c r="C288" s="35"/>
      <c r="D288" s="35"/>
      <c r="E288" s="35" t="s">
        <v>788</v>
      </c>
      <c r="F288" s="36">
        <v>114</v>
      </c>
      <c r="G288" s="35" t="s">
        <v>789</v>
      </c>
      <c r="H288" s="35" t="s">
        <v>483</v>
      </c>
    </row>
    <row r="289" spans="1:8" ht="23.1" thickBot="1" x14ac:dyDescent="0.6">
      <c r="A289" s="44"/>
      <c r="B289" s="37"/>
      <c r="C289" s="35"/>
      <c r="D289" s="35"/>
      <c r="E289" s="35" t="s">
        <v>790</v>
      </c>
      <c r="F289" s="36">
        <v>115</v>
      </c>
      <c r="G289" s="35" t="s">
        <v>791</v>
      </c>
      <c r="H289" s="35" t="s">
        <v>483</v>
      </c>
    </row>
    <row r="290" spans="1:8" ht="23.1" thickBot="1" x14ac:dyDescent="0.6">
      <c r="A290" s="44"/>
      <c r="B290" s="37"/>
      <c r="C290" s="35"/>
      <c r="D290" s="35"/>
      <c r="E290" s="35" t="s">
        <v>793</v>
      </c>
      <c r="F290" s="36">
        <v>116</v>
      </c>
      <c r="G290" s="35" t="s">
        <v>794</v>
      </c>
      <c r="H290" s="35" t="s">
        <v>483</v>
      </c>
    </row>
    <row r="291" spans="1:8" ht="23.1" thickBot="1" x14ac:dyDescent="0.6">
      <c r="A291" s="44"/>
      <c r="B291" s="37"/>
      <c r="C291" s="35"/>
      <c r="D291" s="35"/>
      <c r="E291" s="35" t="s">
        <v>796</v>
      </c>
      <c r="F291" s="36">
        <v>117</v>
      </c>
      <c r="G291" s="35" t="s">
        <v>797</v>
      </c>
      <c r="H291" s="35" t="s">
        <v>483</v>
      </c>
    </row>
    <row r="292" spans="1:8" ht="23.1" thickBot="1" x14ac:dyDescent="0.6">
      <c r="A292" s="44"/>
      <c r="B292" s="37"/>
      <c r="C292" s="35"/>
      <c r="D292" s="35"/>
      <c r="E292" s="35" t="s">
        <v>799</v>
      </c>
      <c r="F292" s="36">
        <v>118</v>
      </c>
      <c r="G292" s="35" t="s">
        <v>800</v>
      </c>
      <c r="H292" s="35" t="s">
        <v>483</v>
      </c>
    </row>
    <row r="293" spans="1:8" ht="23.1" thickBot="1" x14ac:dyDescent="0.6">
      <c r="A293" s="44"/>
      <c r="B293" s="37"/>
      <c r="C293" s="35"/>
      <c r="D293" s="35"/>
      <c r="E293" s="35" t="s">
        <v>802</v>
      </c>
      <c r="F293" s="36">
        <v>119</v>
      </c>
      <c r="G293" s="35" t="s">
        <v>803</v>
      </c>
      <c r="H293" s="35" t="s">
        <v>483</v>
      </c>
    </row>
    <row r="294" spans="1:8" ht="23.1" thickBot="1" x14ac:dyDescent="0.6">
      <c r="A294" s="44"/>
      <c r="B294" s="37"/>
      <c r="C294" s="35"/>
      <c r="D294" s="35"/>
      <c r="E294" s="35" t="s">
        <v>805</v>
      </c>
      <c r="F294" s="36">
        <v>120</v>
      </c>
      <c r="G294" s="35" t="s">
        <v>806</v>
      </c>
      <c r="H294" s="35" t="s">
        <v>483</v>
      </c>
    </row>
    <row r="295" spans="1:8" ht="23.1" thickBot="1" x14ac:dyDescent="0.6">
      <c r="A295" s="44"/>
      <c r="B295" s="37"/>
      <c r="C295" s="35"/>
      <c r="D295" s="35"/>
      <c r="E295" s="35" t="s">
        <v>808</v>
      </c>
      <c r="F295" s="36">
        <v>121</v>
      </c>
      <c r="G295" s="35" t="s">
        <v>809</v>
      </c>
      <c r="H295" s="35" t="s">
        <v>483</v>
      </c>
    </row>
    <row r="296" spans="1:8" ht="23.1" thickBot="1" x14ac:dyDescent="0.6">
      <c r="A296" s="44"/>
      <c r="B296" s="37"/>
      <c r="C296" s="35"/>
      <c r="D296" s="35"/>
      <c r="E296" s="35" t="s">
        <v>811</v>
      </c>
      <c r="F296" s="36">
        <v>122</v>
      </c>
      <c r="G296" s="35" t="s">
        <v>812</v>
      </c>
      <c r="H296" s="35" t="s">
        <v>483</v>
      </c>
    </row>
    <row r="297" spans="1:8" ht="23.1" thickBot="1" x14ac:dyDescent="0.6">
      <c r="A297" s="44"/>
      <c r="B297" s="37"/>
      <c r="C297" s="35"/>
      <c r="D297" s="35"/>
      <c r="E297" s="35" t="s">
        <v>814</v>
      </c>
      <c r="F297" s="36">
        <v>123</v>
      </c>
      <c r="G297" s="35" t="s">
        <v>815</v>
      </c>
      <c r="H297" s="35" t="s">
        <v>483</v>
      </c>
    </row>
    <row r="298" spans="1:8" ht="23.1" thickBot="1" x14ac:dyDescent="0.6">
      <c r="A298" s="44"/>
      <c r="B298" s="37"/>
      <c r="C298" s="35"/>
      <c r="D298" s="35"/>
      <c r="E298" s="35" t="s">
        <v>817</v>
      </c>
      <c r="F298" s="36">
        <v>124</v>
      </c>
      <c r="G298" s="35" t="s">
        <v>818</v>
      </c>
      <c r="H298" s="35" t="s">
        <v>483</v>
      </c>
    </row>
    <row r="299" spans="1:8" ht="23.1" thickBot="1" x14ac:dyDescent="0.6">
      <c r="A299" s="44"/>
      <c r="B299" s="37"/>
      <c r="C299" s="35"/>
      <c r="D299" s="35"/>
      <c r="E299" s="35" t="s">
        <v>820</v>
      </c>
      <c r="F299" s="36">
        <v>125</v>
      </c>
      <c r="G299" s="35" t="s">
        <v>821</v>
      </c>
      <c r="H299" s="35" t="s">
        <v>483</v>
      </c>
    </row>
    <row r="300" spans="1:8" ht="23.1" thickBot="1" x14ac:dyDescent="0.6">
      <c r="A300" s="44"/>
      <c r="B300" s="37"/>
      <c r="C300" s="35"/>
      <c r="D300" s="35"/>
      <c r="E300" s="35" t="s">
        <v>822</v>
      </c>
      <c r="F300" s="36">
        <v>126</v>
      </c>
      <c r="G300" s="35" t="s">
        <v>823</v>
      </c>
      <c r="H300" s="35" t="s">
        <v>483</v>
      </c>
    </row>
    <row r="301" spans="1:8" ht="23.1" thickBot="1" x14ac:dyDescent="0.6">
      <c r="A301" s="44"/>
      <c r="B301" s="37"/>
      <c r="C301" s="35"/>
      <c r="D301" s="35"/>
      <c r="E301" s="35" t="s">
        <v>825</v>
      </c>
      <c r="F301" s="36">
        <v>127</v>
      </c>
      <c r="G301" s="35" t="s">
        <v>826</v>
      </c>
      <c r="H301" s="35" t="s">
        <v>483</v>
      </c>
    </row>
    <row r="302" spans="1:8" ht="23.1" thickBot="1" x14ac:dyDescent="0.6">
      <c r="A302" s="44"/>
      <c r="B302" s="37"/>
      <c r="C302" s="35"/>
      <c r="D302" s="35"/>
      <c r="E302" s="35" t="s">
        <v>828</v>
      </c>
      <c r="F302" s="36">
        <v>128</v>
      </c>
      <c r="G302" s="35" t="s">
        <v>829</v>
      </c>
      <c r="H302" s="35" t="s">
        <v>483</v>
      </c>
    </row>
    <row r="303" spans="1:8" ht="23.1" thickBot="1" x14ac:dyDescent="0.6">
      <c r="A303" s="44"/>
      <c r="B303" s="37"/>
      <c r="C303" s="35"/>
      <c r="D303" s="35"/>
      <c r="E303" s="35" t="s">
        <v>831</v>
      </c>
      <c r="F303" s="36">
        <v>129</v>
      </c>
      <c r="G303" s="35" t="s">
        <v>832</v>
      </c>
      <c r="H303" s="35" t="s">
        <v>483</v>
      </c>
    </row>
    <row r="304" spans="1:8" ht="23.1" thickBot="1" x14ac:dyDescent="0.6">
      <c r="A304" s="44"/>
      <c r="B304" s="37"/>
      <c r="C304" s="35"/>
      <c r="D304" s="35"/>
      <c r="E304" s="35" t="s">
        <v>834</v>
      </c>
      <c r="F304" s="36">
        <v>130</v>
      </c>
      <c r="G304" s="35" t="s">
        <v>835</v>
      </c>
      <c r="H304" s="35" t="s">
        <v>483</v>
      </c>
    </row>
    <row r="305" spans="1:8" ht="23.1" thickBot="1" x14ac:dyDescent="0.6">
      <c r="A305" s="44"/>
      <c r="B305" s="37"/>
      <c r="C305" s="35"/>
      <c r="D305" s="35"/>
      <c r="E305" s="35" t="s">
        <v>837</v>
      </c>
      <c r="F305" s="36">
        <v>131</v>
      </c>
      <c r="G305" s="35" t="s">
        <v>838</v>
      </c>
      <c r="H305" s="35" t="s">
        <v>483</v>
      </c>
    </row>
    <row r="306" spans="1:8" ht="23.1" thickBot="1" x14ac:dyDescent="0.6">
      <c r="A306" s="44"/>
      <c r="B306" s="37"/>
      <c r="C306" s="35"/>
      <c r="D306" s="35"/>
      <c r="E306" s="35" t="s">
        <v>839</v>
      </c>
      <c r="F306" s="36">
        <v>132</v>
      </c>
      <c r="G306" s="35" t="s">
        <v>840</v>
      </c>
      <c r="H306" s="35" t="s">
        <v>483</v>
      </c>
    </row>
    <row r="307" spans="1:8" ht="23.1" thickBot="1" x14ac:dyDescent="0.6">
      <c r="A307" s="44"/>
      <c r="B307" s="37"/>
      <c r="C307" s="35"/>
      <c r="D307" s="35"/>
      <c r="E307" s="35" t="s">
        <v>841</v>
      </c>
      <c r="F307" s="36">
        <v>133</v>
      </c>
      <c r="G307" s="35" t="s">
        <v>842</v>
      </c>
      <c r="H307" s="35" t="s">
        <v>483</v>
      </c>
    </row>
    <row r="308" spans="1:8" ht="23.1" thickBot="1" x14ac:dyDescent="0.6">
      <c r="A308" s="44"/>
      <c r="B308" s="37"/>
      <c r="C308" s="35"/>
      <c r="D308" s="35"/>
      <c r="E308" s="35" t="s">
        <v>844</v>
      </c>
      <c r="F308" s="36">
        <v>134</v>
      </c>
      <c r="G308" s="35" t="s">
        <v>845</v>
      </c>
      <c r="H308" s="35" t="s">
        <v>483</v>
      </c>
    </row>
    <row r="309" spans="1:8" ht="23.1" thickBot="1" x14ac:dyDescent="0.6">
      <c r="A309" s="44"/>
      <c r="B309" s="37"/>
      <c r="C309" s="35"/>
      <c r="D309" s="35"/>
      <c r="E309" s="35" t="s">
        <v>847</v>
      </c>
      <c r="F309" s="36">
        <v>135</v>
      </c>
      <c r="G309" s="35" t="s">
        <v>848</v>
      </c>
      <c r="H309" s="35" t="s">
        <v>483</v>
      </c>
    </row>
    <row r="310" spans="1:8" ht="23.1" thickBot="1" x14ac:dyDescent="0.6">
      <c r="A310" s="44"/>
      <c r="B310" s="37"/>
      <c r="C310" s="35"/>
      <c r="D310" s="35"/>
      <c r="E310" s="35" t="s">
        <v>850</v>
      </c>
      <c r="F310" s="36">
        <v>136</v>
      </c>
      <c r="G310" s="35" t="s">
        <v>851</v>
      </c>
      <c r="H310" s="35" t="s">
        <v>483</v>
      </c>
    </row>
    <row r="311" spans="1:8" ht="23.1" thickBot="1" x14ac:dyDescent="0.6">
      <c r="A311" s="44"/>
      <c r="B311" s="37"/>
      <c r="C311" s="35"/>
      <c r="D311" s="35"/>
      <c r="E311" s="35" t="s">
        <v>853</v>
      </c>
      <c r="F311" s="36">
        <v>137</v>
      </c>
      <c r="G311" s="35" t="s">
        <v>854</v>
      </c>
      <c r="H311" s="35" t="s">
        <v>483</v>
      </c>
    </row>
    <row r="312" spans="1:8" ht="23.1" thickBot="1" x14ac:dyDescent="0.6">
      <c r="A312" s="44"/>
      <c r="B312" s="37"/>
      <c r="C312" s="35"/>
      <c r="D312" s="35"/>
      <c r="E312" s="35" t="s">
        <v>856</v>
      </c>
      <c r="F312" s="36">
        <v>138</v>
      </c>
      <c r="G312" s="35" t="s">
        <v>857</v>
      </c>
      <c r="H312" s="35" t="s">
        <v>483</v>
      </c>
    </row>
    <row r="313" spans="1:8" ht="23.1" thickBot="1" x14ac:dyDescent="0.6">
      <c r="A313" s="44"/>
      <c r="B313" s="37"/>
      <c r="C313" s="35"/>
      <c r="D313" s="35"/>
      <c r="E313" s="35" t="s">
        <v>859</v>
      </c>
      <c r="F313" s="36">
        <v>723</v>
      </c>
      <c r="G313" s="35" t="s">
        <v>860</v>
      </c>
      <c r="H313" s="35" t="s">
        <v>483</v>
      </c>
    </row>
    <row r="314" spans="1:8" ht="23.1" thickBot="1" x14ac:dyDescent="0.6">
      <c r="A314" s="44"/>
      <c r="B314" s="37"/>
      <c r="C314" s="35"/>
      <c r="D314" s="35"/>
      <c r="E314" s="35" t="s">
        <v>862</v>
      </c>
      <c r="F314" s="36">
        <v>999</v>
      </c>
      <c r="G314" s="35" t="s">
        <v>135</v>
      </c>
      <c r="H314" s="35" t="s">
        <v>483</v>
      </c>
    </row>
    <row r="315" spans="1:8" ht="23.1" thickBot="1" x14ac:dyDescent="0.6">
      <c r="A315" s="44" t="s">
        <v>7202</v>
      </c>
      <c r="B315" s="37" t="s">
        <v>6467</v>
      </c>
      <c r="C315" s="35" t="s">
        <v>6745</v>
      </c>
      <c r="D315" s="35" t="s">
        <v>7203</v>
      </c>
      <c r="E315" s="35" t="s">
        <v>864</v>
      </c>
      <c r="F315" s="36">
        <v>0</v>
      </c>
      <c r="G315" s="35" t="s">
        <v>865</v>
      </c>
      <c r="H315" s="35" t="s">
        <v>867</v>
      </c>
    </row>
    <row r="316" spans="1:8" ht="23.1" thickBot="1" x14ac:dyDescent="0.6">
      <c r="A316" s="44" t="s">
        <v>7204</v>
      </c>
      <c r="B316" s="37" t="s">
        <v>6390</v>
      </c>
      <c r="C316" s="35" t="s">
        <v>6784</v>
      </c>
      <c r="D316" s="35" t="s">
        <v>7205</v>
      </c>
      <c r="E316" s="35" t="s">
        <v>868</v>
      </c>
      <c r="F316" s="36">
        <v>0</v>
      </c>
      <c r="G316" s="35" t="s">
        <v>869</v>
      </c>
      <c r="H316" s="35" t="s">
        <v>871</v>
      </c>
    </row>
    <row r="317" spans="1:8" ht="23.1" thickBot="1" x14ac:dyDescent="0.6">
      <c r="A317" s="44"/>
      <c r="B317" s="37"/>
      <c r="C317" s="35" t="s">
        <v>6771</v>
      </c>
      <c r="D317" s="35" t="s">
        <v>7206</v>
      </c>
      <c r="E317" s="35" t="s">
        <v>868</v>
      </c>
      <c r="F317" s="36">
        <v>0</v>
      </c>
      <c r="G317" s="35" t="s">
        <v>869</v>
      </c>
      <c r="H317" s="35" t="s">
        <v>871</v>
      </c>
    </row>
    <row r="318" spans="1:8" ht="23.1" thickBot="1" x14ac:dyDescent="0.6">
      <c r="A318" s="44"/>
      <c r="B318" s="37"/>
      <c r="C318" s="35" t="s">
        <v>6772</v>
      </c>
      <c r="D318" s="35" t="s">
        <v>7207</v>
      </c>
      <c r="E318" s="35" t="s">
        <v>868</v>
      </c>
      <c r="F318" s="36">
        <v>0</v>
      </c>
      <c r="G318" s="35" t="s">
        <v>869</v>
      </c>
      <c r="H318" s="35" t="s">
        <v>871</v>
      </c>
    </row>
    <row r="319" spans="1:8" ht="23.1" thickBot="1" x14ac:dyDescent="0.6">
      <c r="A319" s="44" t="s">
        <v>7208</v>
      </c>
      <c r="B319" s="37" t="s">
        <v>6645</v>
      </c>
      <c r="C319" s="35" t="s">
        <v>6771</v>
      </c>
      <c r="D319" s="35" t="s">
        <v>7209</v>
      </c>
      <c r="E319" s="35" t="s">
        <v>872</v>
      </c>
      <c r="F319" s="36">
        <v>0</v>
      </c>
      <c r="G319" s="35" t="s">
        <v>741</v>
      </c>
      <c r="H319" s="35" t="s">
        <v>874</v>
      </c>
    </row>
    <row r="320" spans="1:8" ht="23.1" thickBot="1" x14ac:dyDescent="0.6">
      <c r="A320" s="44"/>
      <c r="B320" s="37"/>
      <c r="C320" s="35" t="s">
        <v>6772</v>
      </c>
      <c r="D320" s="35" t="s">
        <v>7210</v>
      </c>
      <c r="E320" s="35" t="s">
        <v>872</v>
      </c>
      <c r="F320" s="36">
        <v>0</v>
      </c>
      <c r="G320" s="35" t="s">
        <v>741</v>
      </c>
      <c r="H320" s="35" t="s">
        <v>874</v>
      </c>
    </row>
    <row r="321" spans="1:8" ht="23.1" thickBot="1" x14ac:dyDescent="0.6">
      <c r="A321" s="44" t="s">
        <v>7211</v>
      </c>
      <c r="B321" s="37" t="s">
        <v>6391</v>
      </c>
      <c r="C321" s="35" t="s">
        <v>6785</v>
      </c>
      <c r="D321" s="35" t="s">
        <v>7212</v>
      </c>
      <c r="E321" s="35" t="s">
        <v>875</v>
      </c>
      <c r="F321" s="36">
        <v>0</v>
      </c>
      <c r="G321" s="35" t="s">
        <v>876</v>
      </c>
      <c r="H321" s="35" t="s">
        <v>878</v>
      </c>
    </row>
    <row r="322" spans="1:8" ht="23.1" thickBot="1" x14ac:dyDescent="0.6">
      <c r="A322" s="44"/>
      <c r="B322" s="37"/>
      <c r="C322" s="35" t="s">
        <v>6786</v>
      </c>
      <c r="D322" s="35" t="s">
        <v>7213</v>
      </c>
      <c r="E322" s="35" t="s">
        <v>875</v>
      </c>
      <c r="F322" s="36">
        <v>0</v>
      </c>
      <c r="G322" s="35" t="s">
        <v>876</v>
      </c>
      <c r="H322" s="35" t="s">
        <v>878</v>
      </c>
    </row>
    <row r="323" spans="1:8" ht="23.1" thickBot="1" x14ac:dyDescent="0.6">
      <c r="A323" s="44"/>
      <c r="B323" s="37"/>
      <c r="C323" s="35"/>
      <c r="D323" s="35"/>
      <c r="E323" s="35" t="s">
        <v>879</v>
      </c>
      <c r="F323" s="36">
        <v>0</v>
      </c>
      <c r="G323" s="35" t="s">
        <v>880</v>
      </c>
      <c r="H323" s="35" t="s">
        <v>882</v>
      </c>
    </row>
    <row r="324" spans="1:8" ht="23.1" thickBot="1" x14ac:dyDescent="0.6">
      <c r="A324" s="44"/>
      <c r="B324" s="37"/>
      <c r="C324" s="35"/>
      <c r="D324" s="35"/>
      <c r="E324" s="35" t="s">
        <v>883</v>
      </c>
      <c r="F324" s="36">
        <v>0</v>
      </c>
      <c r="G324" s="35" t="s">
        <v>884</v>
      </c>
      <c r="H324" s="35" t="s">
        <v>886</v>
      </c>
    </row>
    <row r="325" spans="1:8" ht="14.7" thickBot="1" x14ac:dyDescent="0.6">
      <c r="A325" s="44"/>
      <c r="B325" s="37"/>
      <c r="C325" s="35" t="s">
        <v>6825</v>
      </c>
      <c r="D325" s="35" t="s">
        <v>7214</v>
      </c>
      <c r="E325" s="35"/>
      <c r="F325" s="36"/>
      <c r="G325" s="35"/>
      <c r="H325" s="35"/>
    </row>
    <row r="326" spans="1:8" ht="23.1" thickBot="1" x14ac:dyDescent="0.6">
      <c r="A326" s="44" t="s">
        <v>7215</v>
      </c>
      <c r="B326" s="37" t="s">
        <v>6395</v>
      </c>
      <c r="C326" s="35" t="s">
        <v>6768</v>
      </c>
      <c r="D326" s="35" t="s">
        <v>7216</v>
      </c>
      <c r="E326" s="35" t="s">
        <v>887</v>
      </c>
      <c r="F326" s="36">
        <v>0</v>
      </c>
      <c r="G326" s="35" t="s">
        <v>888</v>
      </c>
      <c r="H326" s="35" t="s">
        <v>890</v>
      </c>
    </row>
    <row r="327" spans="1:8" ht="23.1" thickBot="1" x14ac:dyDescent="0.6">
      <c r="A327" s="44" t="s">
        <v>7217</v>
      </c>
      <c r="B327" s="37" t="s">
        <v>6409</v>
      </c>
      <c r="C327" s="35" t="s">
        <v>6768</v>
      </c>
      <c r="D327" s="35" t="s">
        <v>7218</v>
      </c>
      <c r="E327" s="35" t="s">
        <v>891</v>
      </c>
      <c r="F327" s="36">
        <v>0</v>
      </c>
      <c r="G327" s="35" t="s">
        <v>892</v>
      </c>
      <c r="H327" s="35" t="s">
        <v>894</v>
      </c>
    </row>
    <row r="328" spans="1:8" ht="23.1" thickBot="1" x14ac:dyDescent="0.6">
      <c r="A328" s="44"/>
      <c r="B328" s="37"/>
      <c r="C328" s="35" t="s">
        <v>6769</v>
      </c>
      <c r="D328" s="35" t="s">
        <v>7219</v>
      </c>
      <c r="E328" s="35" t="s">
        <v>891</v>
      </c>
      <c r="F328" s="36">
        <v>0</v>
      </c>
      <c r="G328" s="35" t="s">
        <v>892</v>
      </c>
      <c r="H328" s="35" t="s">
        <v>894</v>
      </c>
    </row>
    <row r="329" spans="1:8" ht="23.1" thickBot="1" x14ac:dyDescent="0.6">
      <c r="A329" s="44"/>
      <c r="B329" s="37"/>
      <c r="C329" s="35"/>
      <c r="D329" s="35"/>
      <c r="E329" s="35" t="s">
        <v>895</v>
      </c>
      <c r="F329" s="36">
        <v>0</v>
      </c>
      <c r="G329" s="35" t="s">
        <v>896</v>
      </c>
      <c r="H329" s="35" t="s">
        <v>898</v>
      </c>
    </row>
    <row r="330" spans="1:8" ht="23.1" thickBot="1" x14ac:dyDescent="0.6">
      <c r="A330" s="44" t="s">
        <v>7220</v>
      </c>
      <c r="B330" s="37" t="s">
        <v>6698</v>
      </c>
      <c r="C330" s="35" t="s">
        <v>6768</v>
      </c>
      <c r="D330" s="35" t="s">
        <v>7221</v>
      </c>
      <c r="E330" s="35" t="s">
        <v>899</v>
      </c>
      <c r="F330" s="36">
        <v>0</v>
      </c>
      <c r="G330" s="35" t="s">
        <v>900</v>
      </c>
      <c r="H330" s="35" t="s">
        <v>902</v>
      </c>
    </row>
    <row r="331" spans="1:8" ht="23.1" thickBot="1" x14ac:dyDescent="0.6">
      <c r="A331" s="44"/>
      <c r="B331" s="37"/>
      <c r="C331" s="35" t="s">
        <v>6769</v>
      </c>
      <c r="D331" s="35" t="s">
        <v>7222</v>
      </c>
      <c r="E331" s="35" t="s">
        <v>899</v>
      </c>
      <c r="F331" s="36">
        <v>0</v>
      </c>
      <c r="G331" s="35" t="s">
        <v>900</v>
      </c>
      <c r="H331" s="35" t="s">
        <v>902</v>
      </c>
    </row>
    <row r="332" spans="1:8" ht="23.1" thickBot="1" x14ac:dyDescent="0.6">
      <c r="A332" s="44"/>
      <c r="B332" s="37"/>
      <c r="C332" s="35"/>
      <c r="D332" s="35"/>
      <c r="E332" s="35" t="s">
        <v>903</v>
      </c>
      <c r="F332" s="36">
        <v>0</v>
      </c>
      <c r="G332" s="35" t="s">
        <v>904</v>
      </c>
      <c r="H332" s="35" t="s">
        <v>906</v>
      </c>
    </row>
    <row r="333" spans="1:8" ht="23.1" thickBot="1" x14ac:dyDescent="0.6">
      <c r="A333" s="44"/>
      <c r="B333" s="37"/>
      <c r="C333" s="35"/>
      <c r="D333" s="35"/>
      <c r="E333" s="35" t="s">
        <v>907</v>
      </c>
      <c r="F333" s="36">
        <v>0</v>
      </c>
      <c r="G333" s="35" t="s">
        <v>908</v>
      </c>
      <c r="H333" s="35" t="s">
        <v>910</v>
      </c>
    </row>
    <row r="334" spans="1:8" ht="23.1" thickBot="1" x14ac:dyDescent="0.6">
      <c r="A334" s="44"/>
      <c r="B334" s="37"/>
      <c r="C334" s="35"/>
      <c r="D334" s="35"/>
      <c r="E334" s="35" t="s">
        <v>911</v>
      </c>
      <c r="F334" s="36">
        <v>0</v>
      </c>
      <c r="G334" s="35" t="s">
        <v>912</v>
      </c>
      <c r="H334" s="35" t="s">
        <v>914</v>
      </c>
    </row>
    <row r="335" spans="1:8" ht="23.1" thickBot="1" x14ac:dyDescent="0.6">
      <c r="A335" s="44" t="s">
        <v>7223</v>
      </c>
      <c r="B335" s="37" t="s">
        <v>6448</v>
      </c>
      <c r="C335" s="35" t="s">
        <v>6800</v>
      </c>
      <c r="D335" s="35" t="s">
        <v>7224</v>
      </c>
      <c r="E335" s="35" t="s">
        <v>915</v>
      </c>
      <c r="F335" s="36">
        <v>0</v>
      </c>
      <c r="G335" s="35" t="s">
        <v>916</v>
      </c>
      <c r="H335" s="35" t="s">
        <v>918</v>
      </c>
    </row>
    <row r="336" spans="1:8" ht="23.1" thickBot="1" x14ac:dyDescent="0.6">
      <c r="A336" s="44"/>
      <c r="B336" s="37"/>
      <c r="C336" s="35" t="s">
        <v>6789</v>
      </c>
      <c r="D336" s="35" t="s">
        <v>7225</v>
      </c>
      <c r="E336" s="35" t="s">
        <v>915</v>
      </c>
      <c r="F336" s="36">
        <v>0</v>
      </c>
      <c r="G336" s="35" t="s">
        <v>916</v>
      </c>
      <c r="H336" s="35" t="s">
        <v>918</v>
      </c>
    </row>
    <row r="337" spans="1:8" ht="23.1" thickBot="1" x14ac:dyDescent="0.6">
      <c r="A337" s="44" t="s">
        <v>7226</v>
      </c>
      <c r="B337" s="37" t="s">
        <v>6568</v>
      </c>
      <c r="C337" s="35" t="s">
        <v>6789</v>
      </c>
      <c r="D337" s="35" t="s">
        <v>7227</v>
      </c>
      <c r="E337" s="35" t="s">
        <v>919</v>
      </c>
      <c r="F337" s="36">
        <v>0</v>
      </c>
      <c r="G337" s="35" t="s">
        <v>920</v>
      </c>
      <c r="H337" s="35" t="s">
        <v>922</v>
      </c>
    </row>
    <row r="338" spans="1:8" ht="23.1" thickBot="1" x14ac:dyDescent="0.6">
      <c r="A338" s="44" t="s">
        <v>7228</v>
      </c>
      <c r="B338" s="37" t="s">
        <v>6464</v>
      </c>
      <c r="C338" s="35" t="s">
        <v>6784</v>
      </c>
      <c r="D338" s="35" t="s">
        <v>7229</v>
      </c>
      <c r="E338" s="35" t="s">
        <v>923</v>
      </c>
      <c r="F338" s="36">
        <v>0</v>
      </c>
      <c r="G338" s="35" t="s">
        <v>924</v>
      </c>
      <c r="H338" s="35" t="s">
        <v>926</v>
      </c>
    </row>
    <row r="339" spans="1:8" ht="23.1" thickBot="1" x14ac:dyDescent="0.6">
      <c r="A339" s="44" t="s">
        <v>7230</v>
      </c>
      <c r="B339" s="37" t="s">
        <v>6473</v>
      </c>
      <c r="C339" s="35" t="s">
        <v>6771</v>
      </c>
      <c r="D339" s="35" t="s">
        <v>7231</v>
      </c>
      <c r="E339" s="35" t="s">
        <v>927</v>
      </c>
      <c r="F339" s="36">
        <v>0</v>
      </c>
      <c r="G339" s="35" t="s">
        <v>928</v>
      </c>
      <c r="H339" s="35" t="s">
        <v>930</v>
      </c>
    </row>
    <row r="340" spans="1:8" ht="23.1" thickBot="1" x14ac:dyDescent="0.6">
      <c r="A340" s="44"/>
      <c r="B340" s="37"/>
      <c r="C340" s="35"/>
      <c r="D340" s="35"/>
      <c r="E340" s="35" t="s">
        <v>931</v>
      </c>
      <c r="F340" s="36">
        <v>0</v>
      </c>
      <c r="G340" s="35" t="s">
        <v>932</v>
      </c>
      <c r="H340" s="35" t="s">
        <v>934</v>
      </c>
    </row>
    <row r="341" spans="1:8" ht="23.1" thickBot="1" x14ac:dyDescent="0.6">
      <c r="A341" s="44" t="s">
        <v>7232</v>
      </c>
      <c r="B341" s="37" t="s">
        <v>6485</v>
      </c>
      <c r="C341" s="35" t="s">
        <v>6784</v>
      </c>
      <c r="D341" s="35" t="s">
        <v>7233</v>
      </c>
      <c r="E341" s="35" t="s">
        <v>935</v>
      </c>
      <c r="F341" s="36">
        <v>0</v>
      </c>
      <c r="G341" s="35" t="s">
        <v>936</v>
      </c>
      <c r="H341" s="35" t="s">
        <v>938</v>
      </c>
    </row>
    <row r="342" spans="1:8" ht="14.7" thickBot="1" x14ac:dyDescent="0.6">
      <c r="A342" s="44"/>
      <c r="B342" s="37"/>
      <c r="C342" s="35" t="s">
        <v>6771</v>
      </c>
      <c r="D342" s="35" t="s">
        <v>7234</v>
      </c>
      <c r="E342" s="35"/>
      <c r="F342" s="36"/>
      <c r="G342" s="35"/>
      <c r="H342" s="35"/>
    </row>
    <row r="343" spans="1:8" ht="23.1" thickBot="1" x14ac:dyDescent="0.6">
      <c r="A343" s="44"/>
      <c r="B343" s="37"/>
      <c r="C343" s="35"/>
      <c r="D343" s="35"/>
      <c r="E343" s="35" t="s">
        <v>939</v>
      </c>
      <c r="F343" s="36">
        <v>0</v>
      </c>
      <c r="G343" s="35" t="s">
        <v>940</v>
      </c>
      <c r="H343" s="35" t="s">
        <v>942</v>
      </c>
    </row>
    <row r="344" spans="1:8" ht="34.5" thickBot="1" x14ac:dyDescent="0.6">
      <c r="A344" s="44"/>
      <c r="B344" s="37"/>
      <c r="C344" s="35"/>
      <c r="D344" s="35"/>
      <c r="E344" s="35" t="s">
        <v>943</v>
      </c>
      <c r="F344" s="36">
        <v>0</v>
      </c>
      <c r="G344" s="35" t="s">
        <v>944</v>
      </c>
      <c r="H344" s="35" t="s">
        <v>946</v>
      </c>
    </row>
    <row r="345" spans="1:8" ht="23.1" thickBot="1" x14ac:dyDescent="0.6">
      <c r="A345" s="44" t="s">
        <v>7235</v>
      </c>
      <c r="B345" s="37" t="s">
        <v>6514</v>
      </c>
      <c r="C345" s="35" t="s">
        <v>6771</v>
      </c>
      <c r="D345" s="35" t="s">
        <v>7236</v>
      </c>
      <c r="E345" s="35" t="s">
        <v>947</v>
      </c>
      <c r="F345" s="36">
        <v>0</v>
      </c>
      <c r="G345" s="35" t="s">
        <v>948</v>
      </c>
      <c r="H345" s="35" t="s">
        <v>950</v>
      </c>
    </row>
    <row r="346" spans="1:8" ht="14.7" thickBot="1" x14ac:dyDescent="0.6">
      <c r="A346" s="44"/>
      <c r="B346" s="37"/>
      <c r="C346" s="35" t="s">
        <v>6772</v>
      </c>
      <c r="D346" s="35" t="s">
        <v>7237</v>
      </c>
      <c r="E346" s="35"/>
      <c r="F346" s="36"/>
      <c r="G346" s="35"/>
      <c r="H346" s="35"/>
    </row>
    <row r="347" spans="1:8" ht="23.1" thickBot="1" x14ac:dyDescent="0.6">
      <c r="A347" s="44"/>
      <c r="B347" s="37"/>
      <c r="C347" s="35"/>
      <c r="D347" s="35"/>
      <c r="E347" s="35" t="s">
        <v>951</v>
      </c>
      <c r="F347" s="36">
        <v>0</v>
      </c>
      <c r="G347" s="35" t="s">
        <v>948</v>
      </c>
      <c r="H347" s="35" t="s">
        <v>953</v>
      </c>
    </row>
    <row r="348" spans="1:8" ht="23.1" thickBot="1" x14ac:dyDescent="0.6">
      <c r="A348" s="44"/>
      <c r="B348" s="37"/>
      <c r="C348" s="35"/>
      <c r="D348" s="35"/>
      <c r="E348" s="35" t="s">
        <v>954</v>
      </c>
      <c r="F348" s="36">
        <v>0</v>
      </c>
      <c r="G348" s="35" t="s">
        <v>955</v>
      </c>
      <c r="H348" s="35" t="s">
        <v>957</v>
      </c>
    </row>
    <row r="349" spans="1:8" ht="23.1" thickBot="1" x14ac:dyDescent="0.6">
      <c r="A349" s="44" t="s">
        <v>7238</v>
      </c>
      <c r="B349" s="37" t="s">
        <v>6639</v>
      </c>
      <c r="C349" s="35" t="s">
        <v>6785</v>
      </c>
      <c r="D349" s="35" t="s">
        <v>7239</v>
      </c>
      <c r="E349" s="35" t="s">
        <v>958</v>
      </c>
      <c r="F349" s="36">
        <v>0</v>
      </c>
      <c r="G349" s="35" t="s">
        <v>959</v>
      </c>
      <c r="H349" s="35" t="s">
        <v>961</v>
      </c>
    </row>
    <row r="350" spans="1:8" ht="23.1" thickBot="1" x14ac:dyDescent="0.6">
      <c r="A350" s="44"/>
      <c r="B350" s="37"/>
      <c r="C350" s="35" t="s">
        <v>6786</v>
      </c>
      <c r="D350" s="35" t="s">
        <v>7240</v>
      </c>
      <c r="E350" s="35" t="s">
        <v>958</v>
      </c>
      <c r="F350" s="36">
        <v>0</v>
      </c>
      <c r="G350" s="35" t="s">
        <v>959</v>
      </c>
      <c r="H350" s="35" t="s">
        <v>961</v>
      </c>
    </row>
    <row r="351" spans="1:8" ht="23.1" thickBot="1" x14ac:dyDescent="0.6">
      <c r="A351" s="44" t="s">
        <v>7241</v>
      </c>
      <c r="B351" s="37" t="s">
        <v>6541</v>
      </c>
      <c r="C351" s="35" t="s">
        <v>6771</v>
      </c>
      <c r="D351" s="35" t="s">
        <v>7242</v>
      </c>
      <c r="E351" s="35" t="s">
        <v>962</v>
      </c>
      <c r="F351" s="36">
        <v>0</v>
      </c>
      <c r="G351" s="35" t="s">
        <v>963</v>
      </c>
      <c r="H351" s="35" t="s">
        <v>965</v>
      </c>
    </row>
    <row r="352" spans="1:8" ht="23.1" thickBot="1" x14ac:dyDescent="0.6">
      <c r="A352" s="44"/>
      <c r="B352" s="37"/>
      <c r="C352" s="35"/>
      <c r="D352" s="35"/>
      <c r="E352" s="35" t="s">
        <v>966</v>
      </c>
      <c r="F352" s="36">
        <v>0</v>
      </c>
      <c r="G352" s="35" t="s">
        <v>967</v>
      </c>
      <c r="H352" s="35" t="s">
        <v>969</v>
      </c>
    </row>
    <row r="353" spans="1:8" ht="23.1" thickBot="1" x14ac:dyDescent="0.6">
      <c r="A353" s="44" t="s">
        <v>7243</v>
      </c>
      <c r="B353" s="37" t="s">
        <v>970</v>
      </c>
      <c r="C353" s="35" t="s">
        <v>6790</v>
      </c>
      <c r="D353" s="35" t="s">
        <v>7244</v>
      </c>
      <c r="E353" s="35" t="s">
        <v>972</v>
      </c>
      <c r="F353" s="36">
        <v>0</v>
      </c>
      <c r="G353" s="35" t="s">
        <v>973</v>
      </c>
      <c r="H353" s="35" t="s">
        <v>971</v>
      </c>
    </row>
    <row r="354" spans="1:8" ht="23.1" thickBot="1" x14ac:dyDescent="0.6">
      <c r="A354" s="44"/>
      <c r="B354" s="37"/>
      <c r="C354" s="35" t="s">
        <v>6789</v>
      </c>
      <c r="D354" s="35" t="s">
        <v>7245</v>
      </c>
      <c r="E354" s="35" t="s">
        <v>972</v>
      </c>
      <c r="F354" s="36">
        <v>0</v>
      </c>
      <c r="G354" s="35" t="s">
        <v>973</v>
      </c>
      <c r="H354" s="35" t="s">
        <v>971</v>
      </c>
    </row>
    <row r="355" spans="1:8" ht="23.1" thickBot="1" x14ac:dyDescent="0.6">
      <c r="A355" s="44"/>
      <c r="B355" s="37"/>
      <c r="C355" s="35"/>
      <c r="D355" s="35"/>
      <c r="E355" s="35" t="s">
        <v>975</v>
      </c>
      <c r="F355" s="36">
        <v>1</v>
      </c>
      <c r="G355" s="35" t="s">
        <v>976</v>
      </c>
      <c r="H355" s="35" t="s">
        <v>971</v>
      </c>
    </row>
    <row r="356" spans="1:8" ht="23.1" thickBot="1" x14ac:dyDescent="0.6">
      <c r="A356" s="44"/>
      <c r="B356" s="37"/>
      <c r="C356" s="35"/>
      <c r="D356" s="35"/>
      <c r="E356" s="35" t="s">
        <v>978</v>
      </c>
      <c r="F356" s="36">
        <v>2</v>
      </c>
      <c r="G356" s="35" t="s">
        <v>979</v>
      </c>
      <c r="H356" s="35" t="s">
        <v>971</v>
      </c>
    </row>
    <row r="357" spans="1:8" ht="23.1" thickBot="1" x14ac:dyDescent="0.6">
      <c r="A357" s="44"/>
      <c r="B357" s="37"/>
      <c r="C357" s="35"/>
      <c r="D357" s="35"/>
      <c r="E357" s="35" t="s">
        <v>981</v>
      </c>
      <c r="F357" s="36">
        <v>3</v>
      </c>
      <c r="G357" s="35" t="s">
        <v>982</v>
      </c>
      <c r="H357" s="35" t="s">
        <v>971</v>
      </c>
    </row>
    <row r="358" spans="1:8" ht="23.1" thickBot="1" x14ac:dyDescent="0.6">
      <c r="A358" s="44"/>
      <c r="B358" s="37"/>
      <c r="C358" s="35"/>
      <c r="D358" s="35"/>
      <c r="E358" s="35" t="s">
        <v>984</v>
      </c>
      <c r="F358" s="36">
        <v>4</v>
      </c>
      <c r="G358" s="35" t="s">
        <v>985</v>
      </c>
      <c r="H358" s="35" t="s">
        <v>971</v>
      </c>
    </row>
    <row r="359" spans="1:8" ht="23.1" thickBot="1" x14ac:dyDescent="0.6">
      <c r="A359" s="44"/>
      <c r="B359" s="37"/>
      <c r="C359" s="35"/>
      <c r="D359" s="35"/>
      <c r="E359" s="35" t="s">
        <v>987</v>
      </c>
      <c r="F359" s="36">
        <v>5</v>
      </c>
      <c r="G359" s="35" t="s">
        <v>988</v>
      </c>
      <c r="H359" s="35" t="s">
        <v>971</v>
      </c>
    </row>
    <row r="360" spans="1:8" ht="23.1" thickBot="1" x14ac:dyDescent="0.6">
      <c r="A360" s="44"/>
      <c r="B360" s="37"/>
      <c r="C360" s="35"/>
      <c r="D360" s="35"/>
      <c r="E360" s="35" t="s">
        <v>990</v>
      </c>
      <c r="F360" s="36">
        <v>6</v>
      </c>
      <c r="G360" s="35" t="s">
        <v>991</v>
      </c>
      <c r="H360" s="35" t="s">
        <v>971</v>
      </c>
    </row>
    <row r="361" spans="1:8" ht="23.1" thickBot="1" x14ac:dyDescent="0.6">
      <c r="A361" s="44"/>
      <c r="B361" s="37"/>
      <c r="C361" s="35"/>
      <c r="D361" s="35"/>
      <c r="E361" s="35" t="s">
        <v>993</v>
      </c>
      <c r="F361" s="36">
        <v>7</v>
      </c>
      <c r="G361" s="35" t="s">
        <v>994</v>
      </c>
      <c r="H361" s="35" t="s">
        <v>971</v>
      </c>
    </row>
    <row r="362" spans="1:8" ht="23.1" thickBot="1" x14ac:dyDescent="0.6">
      <c r="A362" s="44"/>
      <c r="B362" s="37"/>
      <c r="C362" s="35"/>
      <c r="D362" s="35"/>
      <c r="E362" s="35" t="s">
        <v>996</v>
      </c>
      <c r="F362" s="36">
        <v>8</v>
      </c>
      <c r="G362" s="35" t="s">
        <v>997</v>
      </c>
      <c r="H362" s="35" t="s">
        <v>971</v>
      </c>
    </row>
    <row r="363" spans="1:8" ht="23.1" thickBot="1" x14ac:dyDescent="0.6">
      <c r="A363" s="44"/>
      <c r="B363" s="37"/>
      <c r="C363" s="35"/>
      <c r="D363" s="35"/>
      <c r="E363" s="35" t="s">
        <v>999</v>
      </c>
      <c r="F363" s="36">
        <v>9</v>
      </c>
      <c r="G363" s="35" t="s">
        <v>1000</v>
      </c>
      <c r="H363" s="35" t="s">
        <v>971</v>
      </c>
    </row>
    <row r="364" spans="1:8" ht="23.1" thickBot="1" x14ac:dyDescent="0.6">
      <c r="A364" s="44"/>
      <c r="B364" s="37"/>
      <c r="C364" s="35"/>
      <c r="D364" s="35"/>
      <c r="E364" s="35" t="s">
        <v>1002</v>
      </c>
      <c r="F364" s="36">
        <v>10</v>
      </c>
      <c r="G364" s="35" t="s">
        <v>1003</v>
      </c>
      <c r="H364" s="35" t="s">
        <v>971</v>
      </c>
    </row>
    <row r="365" spans="1:8" ht="23.1" thickBot="1" x14ac:dyDescent="0.6">
      <c r="A365" s="44"/>
      <c r="B365" s="37"/>
      <c r="C365" s="35"/>
      <c r="D365" s="35"/>
      <c r="E365" s="35" t="s">
        <v>1005</v>
      </c>
      <c r="F365" s="36">
        <v>11</v>
      </c>
      <c r="G365" s="35" t="s">
        <v>1006</v>
      </c>
      <c r="H365" s="35" t="s">
        <v>971</v>
      </c>
    </row>
    <row r="366" spans="1:8" ht="23.1" thickBot="1" x14ac:dyDescent="0.6">
      <c r="A366" s="44"/>
      <c r="B366" s="37"/>
      <c r="C366" s="35"/>
      <c r="D366" s="35"/>
      <c r="E366" s="35" t="s">
        <v>1008</v>
      </c>
      <c r="F366" s="36">
        <v>12</v>
      </c>
      <c r="G366" s="35" t="s">
        <v>1009</v>
      </c>
      <c r="H366" s="35" t="s">
        <v>971</v>
      </c>
    </row>
    <row r="367" spans="1:8" ht="23.1" thickBot="1" x14ac:dyDescent="0.6">
      <c r="A367" s="44"/>
      <c r="B367" s="37"/>
      <c r="C367" s="35"/>
      <c r="D367" s="35"/>
      <c r="E367" s="35" t="s">
        <v>1011</v>
      </c>
      <c r="F367" s="36">
        <v>13</v>
      </c>
      <c r="G367" s="35" t="s">
        <v>1012</v>
      </c>
      <c r="H367" s="35" t="s">
        <v>971</v>
      </c>
    </row>
    <row r="368" spans="1:8" ht="23.1" thickBot="1" x14ac:dyDescent="0.6">
      <c r="A368" s="44"/>
      <c r="B368" s="37"/>
      <c r="C368" s="35"/>
      <c r="D368" s="35"/>
      <c r="E368" s="35" t="s">
        <v>1014</v>
      </c>
      <c r="F368" s="36">
        <v>14</v>
      </c>
      <c r="G368" s="35" t="s">
        <v>1015</v>
      </c>
      <c r="H368" s="35" t="s">
        <v>971</v>
      </c>
    </row>
    <row r="369" spans="1:8" ht="23.1" thickBot="1" x14ac:dyDescent="0.6">
      <c r="A369" s="44"/>
      <c r="B369" s="37"/>
      <c r="C369" s="35"/>
      <c r="D369" s="35"/>
      <c r="E369" s="35" t="s">
        <v>1017</v>
      </c>
      <c r="F369" s="36">
        <v>15</v>
      </c>
      <c r="G369" s="35" t="s">
        <v>1018</v>
      </c>
      <c r="H369" s="35" t="s">
        <v>971</v>
      </c>
    </row>
    <row r="370" spans="1:8" ht="23.1" thickBot="1" x14ac:dyDescent="0.6">
      <c r="A370" s="44"/>
      <c r="B370" s="37"/>
      <c r="C370" s="35"/>
      <c r="D370" s="35"/>
      <c r="E370" s="35" t="s">
        <v>1020</v>
      </c>
      <c r="F370" s="36">
        <v>999</v>
      </c>
      <c r="G370" s="35" t="s">
        <v>135</v>
      </c>
      <c r="H370" s="35" t="s">
        <v>971</v>
      </c>
    </row>
    <row r="371" spans="1:8" ht="23.1" thickBot="1" x14ac:dyDescent="0.6">
      <c r="A371" s="44"/>
      <c r="B371" s="37"/>
      <c r="C371" s="35" t="s">
        <v>6758</v>
      </c>
      <c r="D371" s="35" t="s">
        <v>7246</v>
      </c>
      <c r="E371" s="35" t="s">
        <v>1022</v>
      </c>
      <c r="F371" s="36">
        <v>0</v>
      </c>
      <c r="G371" s="35" t="s">
        <v>1023</v>
      </c>
      <c r="H371" s="35" t="s">
        <v>1025</v>
      </c>
    </row>
    <row r="372" spans="1:8" ht="23.1" thickBot="1" x14ac:dyDescent="0.6">
      <c r="A372" s="44"/>
      <c r="B372" s="37"/>
      <c r="C372" s="35" t="s">
        <v>6759</v>
      </c>
      <c r="D372" s="35" t="s">
        <v>7247</v>
      </c>
      <c r="E372" s="35" t="s">
        <v>1022</v>
      </c>
      <c r="F372" s="36">
        <v>0</v>
      </c>
      <c r="G372" s="35" t="s">
        <v>1023</v>
      </c>
      <c r="H372" s="35" t="s">
        <v>1025</v>
      </c>
    </row>
    <row r="373" spans="1:8" ht="23.1" thickBot="1" x14ac:dyDescent="0.6">
      <c r="A373" s="44" t="s">
        <v>7248</v>
      </c>
      <c r="B373" s="37" t="s">
        <v>6564</v>
      </c>
      <c r="C373" s="35" t="s">
        <v>6821</v>
      </c>
      <c r="D373" s="35" t="s">
        <v>7249</v>
      </c>
      <c r="E373" s="35" t="s">
        <v>1026</v>
      </c>
      <c r="F373" s="36">
        <v>0</v>
      </c>
      <c r="G373" s="35" t="s">
        <v>1027</v>
      </c>
      <c r="H373" s="35" t="s">
        <v>1029</v>
      </c>
    </row>
    <row r="374" spans="1:8" ht="23.1" thickBot="1" x14ac:dyDescent="0.6">
      <c r="A374" s="44"/>
      <c r="B374" s="37"/>
      <c r="C374" s="35" t="s">
        <v>6768</v>
      </c>
      <c r="D374" s="35" t="s">
        <v>7250</v>
      </c>
      <c r="E374" s="35" t="s">
        <v>1026</v>
      </c>
      <c r="F374" s="36">
        <v>0</v>
      </c>
      <c r="G374" s="35" t="s">
        <v>1027</v>
      </c>
      <c r="H374" s="35" t="s">
        <v>1029</v>
      </c>
    </row>
    <row r="375" spans="1:8" ht="23.1" thickBot="1" x14ac:dyDescent="0.6">
      <c r="A375" s="44"/>
      <c r="B375" s="37"/>
      <c r="C375" s="35" t="s">
        <v>6769</v>
      </c>
      <c r="D375" s="35" t="s">
        <v>7251</v>
      </c>
      <c r="E375" s="35" t="s">
        <v>1026</v>
      </c>
      <c r="F375" s="36">
        <v>0</v>
      </c>
      <c r="G375" s="35" t="s">
        <v>1027</v>
      </c>
      <c r="H375" s="35" t="s">
        <v>1029</v>
      </c>
    </row>
    <row r="376" spans="1:8" ht="23.1" thickBot="1" x14ac:dyDescent="0.6">
      <c r="A376" s="44"/>
      <c r="B376" s="37"/>
      <c r="C376" s="35"/>
      <c r="D376" s="35"/>
      <c r="E376" s="35" t="s">
        <v>1030</v>
      </c>
      <c r="F376" s="36">
        <v>0</v>
      </c>
      <c r="G376" s="35" t="s">
        <v>1031</v>
      </c>
      <c r="H376" s="35" t="s">
        <v>1033</v>
      </c>
    </row>
    <row r="377" spans="1:8" ht="23.1" thickBot="1" x14ac:dyDescent="0.6">
      <c r="A377" s="44" t="s">
        <v>7252</v>
      </c>
      <c r="B377" s="37" t="s">
        <v>6594</v>
      </c>
      <c r="C377" s="35" t="s">
        <v>6784</v>
      </c>
      <c r="D377" s="35" t="s">
        <v>7253</v>
      </c>
      <c r="E377" s="35" t="s">
        <v>1034</v>
      </c>
      <c r="F377" s="36">
        <v>0</v>
      </c>
      <c r="G377" s="35" t="s">
        <v>1035</v>
      </c>
      <c r="H377" s="35" t="s">
        <v>1037</v>
      </c>
    </row>
    <row r="378" spans="1:8" ht="23.1" thickBot="1" x14ac:dyDescent="0.6">
      <c r="A378" s="44"/>
      <c r="B378" s="37"/>
      <c r="C378" s="35" t="s">
        <v>6827</v>
      </c>
      <c r="D378" s="35" t="s">
        <v>7254</v>
      </c>
      <c r="E378" s="35" t="s">
        <v>1034</v>
      </c>
      <c r="F378" s="36">
        <v>0</v>
      </c>
      <c r="G378" s="35" t="s">
        <v>1035</v>
      </c>
      <c r="H378" s="35" t="s">
        <v>1037</v>
      </c>
    </row>
    <row r="379" spans="1:8" ht="23.1" thickBot="1" x14ac:dyDescent="0.6">
      <c r="A379" s="44"/>
      <c r="B379" s="37"/>
      <c r="C379" s="35" t="s">
        <v>6772</v>
      </c>
      <c r="D379" s="35" t="s">
        <v>7255</v>
      </c>
      <c r="E379" s="35" t="s">
        <v>1034</v>
      </c>
      <c r="F379" s="36">
        <v>0</v>
      </c>
      <c r="G379" s="35" t="s">
        <v>1035</v>
      </c>
      <c r="H379" s="35" t="s">
        <v>1037</v>
      </c>
    </row>
    <row r="380" spans="1:8" ht="23.1" thickBot="1" x14ac:dyDescent="0.6">
      <c r="A380" s="44"/>
      <c r="B380" s="37"/>
      <c r="C380" s="35"/>
      <c r="D380" s="35"/>
      <c r="E380" s="35" t="s">
        <v>1038</v>
      </c>
      <c r="F380" s="36">
        <v>0</v>
      </c>
      <c r="G380" s="35" t="s">
        <v>1039</v>
      </c>
      <c r="H380" s="35" t="s">
        <v>1041</v>
      </c>
    </row>
    <row r="381" spans="1:8" ht="23.1" thickBot="1" x14ac:dyDescent="0.6">
      <c r="A381" s="44" t="s">
        <v>7256</v>
      </c>
      <c r="B381" s="37" t="s">
        <v>6369</v>
      </c>
      <c r="C381" s="35" t="s">
        <v>6771</v>
      </c>
      <c r="D381" s="35" t="s">
        <v>7257</v>
      </c>
      <c r="E381" s="35" t="s">
        <v>1042</v>
      </c>
      <c r="F381" s="36">
        <v>0</v>
      </c>
      <c r="G381" s="35" t="s">
        <v>1043</v>
      </c>
      <c r="H381" s="35" t="s">
        <v>1045</v>
      </c>
    </row>
    <row r="382" spans="1:8" ht="23.1" thickBot="1" x14ac:dyDescent="0.6">
      <c r="A382" s="44"/>
      <c r="B382" s="37"/>
      <c r="C382" s="35" t="s">
        <v>6772</v>
      </c>
      <c r="D382" s="35" t="s">
        <v>7258</v>
      </c>
      <c r="E382" s="35" t="s">
        <v>1042</v>
      </c>
      <c r="F382" s="36">
        <v>0</v>
      </c>
      <c r="G382" s="35" t="s">
        <v>1043</v>
      </c>
      <c r="H382" s="35" t="s">
        <v>1045</v>
      </c>
    </row>
    <row r="383" spans="1:8" ht="23.1" thickBot="1" x14ac:dyDescent="0.6">
      <c r="A383" s="44" t="s">
        <v>7259</v>
      </c>
      <c r="B383" s="37" t="s">
        <v>6590</v>
      </c>
      <c r="C383" s="35" t="s">
        <v>6766</v>
      </c>
      <c r="D383" s="35" t="s">
        <v>7260</v>
      </c>
      <c r="E383" s="35" t="s">
        <v>1046</v>
      </c>
      <c r="F383" s="36">
        <v>0</v>
      </c>
      <c r="G383" s="35" t="s">
        <v>1047</v>
      </c>
      <c r="H383" s="35" t="s">
        <v>1049</v>
      </c>
    </row>
    <row r="384" spans="1:8" ht="23.1" thickBot="1" x14ac:dyDescent="0.6">
      <c r="A384" s="44"/>
      <c r="B384" s="37"/>
      <c r="C384" s="35" t="s">
        <v>6783</v>
      </c>
      <c r="D384" s="35" t="s">
        <v>7261</v>
      </c>
      <c r="E384" s="35" t="s">
        <v>1046</v>
      </c>
      <c r="F384" s="36">
        <v>0</v>
      </c>
      <c r="G384" s="35" t="s">
        <v>1047</v>
      </c>
      <c r="H384" s="35" t="s">
        <v>1049</v>
      </c>
    </row>
    <row r="385" spans="1:8" ht="23.1" thickBot="1" x14ac:dyDescent="0.6">
      <c r="A385" s="44" t="s">
        <v>7262</v>
      </c>
      <c r="B385" s="37" t="s">
        <v>6599</v>
      </c>
      <c r="C385" s="35" t="s">
        <v>6783</v>
      </c>
      <c r="D385" s="35" t="s">
        <v>7263</v>
      </c>
      <c r="E385" s="35" t="s">
        <v>1050</v>
      </c>
      <c r="F385" s="36">
        <v>0</v>
      </c>
      <c r="G385" s="35" t="s">
        <v>1051</v>
      </c>
      <c r="H385" s="35" t="s">
        <v>1053</v>
      </c>
    </row>
    <row r="386" spans="1:8" ht="23.1" thickBot="1" x14ac:dyDescent="0.6">
      <c r="A386" s="44" t="s">
        <v>7264</v>
      </c>
      <c r="B386" s="37" t="s">
        <v>6605</v>
      </c>
      <c r="C386" s="35" t="s">
        <v>6750</v>
      </c>
      <c r="D386" s="35" t="s">
        <v>7265</v>
      </c>
      <c r="E386" s="35" t="s">
        <v>1054</v>
      </c>
      <c r="F386" s="36">
        <v>0</v>
      </c>
      <c r="G386" s="35" t="s">
        <v>1055</v>
      </c>
      <c r="H386" s="35" t="s">
        <v>1057</v>
      </c>
    </row>
    <row r="387" spans="1:8" ht="23.1" thickBot="1" x14ac:dyDescent="0.6">
      <c r="A387" s="44"/>
      <c r="B387" s="37"/>
      <c r="C387" s="35" t="s">
        <v>6751</v>
      </c>
      <c r="D387" s="35" t="s">
        <v>7266</v>
      </c>
      <c r="E387" s="35" t="s">
        <v>1054</v>
      </c>
      <c r="F387" s="36">
        <v>0</v>
      </c>
      <c r="G387" s="35" t="s">
        <v>1055</v>
      </c>
      <c r="H387" s="35" t="s">
        <v>1057</v>
      </c>
    </row>
    <row r="388" spans="1:8" ht="23.1" thickBot="1" x14ac:dyDescent="0.6">
      <c r="A388" s="44" t="s">
        <v>7267</v>
      </c>
      <c r="B388" s="37" t="s">
        <v>6421</v>
      </c>
      <c r="C388" s="35" t="s">
        <v>6769</v>
      </c>
      <c r="D388" s="35" t="s">
        <v>7268</v>
      </c>
      <c r="E388" s="35" t="s">
        <v>1058</v>
      </c>
      <c r="F388" s="36">
        <v>0</v>
      </c>
      <c r="G388" s="35" t="s">
        <v>1059</v>
      </c>
      <c r="H388" s="35" t="s">
        <v>1061</v>
      </c>
    </row>
    <row r="389" spans="1:8" ht="23.1" thickBot="1" x14ac:dyDescent="0.6">
      <c r="A389" s="44" t="s">
        <v>7269</v>
      </c>
      <c r="B389" s="37" t="s">
        <v>6622</v>
      </c>
      <c r="C389" s="35" t="s">
        <v>6769</v>
      </c>
      <c r="D389" s="35" t="s">
        <v>7270</v>
      </c>
      <c r="E389" s="35" t="s">
        <v>1062</v>
      </c>
      <c r="F389" s="36">
        <v>0</v>
      </c>
      <c r="G389" s="35" t="s">
        <v>1063</v>
      </c>
      <c r="H389" s="35" t="s">
        <v>1065</v>
      </c>
    </row>
    <row r="390" spans="1:8" ht="23.1" thickBot="1" x14ac:dyDescent="0.6">
      <c r="A390" s="44" t="s">
        <v>7271</v>
      </c>
      <c r="B390" s="37" t="s">
        <v>6617</v>
      </c>
      <c r="C390" s="35" t="s">
        <v>6766</v>
      </c>
      <c r="D390" s="35" t="s">
        <v>7272</v>
      </c>
      <c r="E390" s="35" t="s">
        <v>1066</v>
      </c>
      <c r="F390" s="36">
        <v>0</v>
      </c>
      <c r="G390" s="35" t="s">
        <v>1067</v>
      </c>
      <c r="H390" s="35" t="s">
        <v>1069</v>
      </c>
    </row>
    <row r="391" spans="1:8" ht="23.1" thickBot="1" x14ac:dyDescent="0.6">
      <c r="A391" s="44"/>
      <c r="B391" s="37"/>
      <c r="C391" s="35" t="s">
        <v>6767</v>
      </c>
      <c r="D391" s="35" t="s">
        <v>7273</v>
      </c>
      <c r="E391" s="35" t="s">
        <v>1066</v>
      </c>
      <c r="F391" s="36">
        <v>0</v>
      </c>
      <c r="G391" s="35" t="s">
        <v>1067</v>
      </c>
      <c r="H391" s="35" t="s">
        <v>1069</v>
      </c>
    </row>
    <row r="392" spans="1:8" ht="23.1" thickBot="1" x14ac:dyDescent="0.6">
      <c r="A392" s="44" t="s">
        <v>7274</v>
      </c>
      <c r="B392" s="37" t="s">
        <v>6630</v>
      </c>
      <c r="C392" s="35" t="s">
        <v>6768</v>
      </c>
      <c r="D392" s="35" t="s">
        <v>7275</v>
      </c>
      <c r="E392" s="35" t="s">
        <v>1070</v>
      </c>
      <c r="F392" s="36">
        <v>0</v>
      </c>
      <c r="G392" s="35" t="s">
        <v>1071</v>
      </c>
      <c r="H392" s="35" t="s">
        <v>1073</v>
      </c>
    </row>
    <row r="393" spans="1:8" ht="23.1" thickBot="1" x14ac:dyDescent="0.6">
      <c r="A393" s="44"/>
      <c r="B393" s="37"/>
      <c r="C393" s="35" t="s">
        <v>6769</v>
      </c>
      <c r="D393" s="35" t="s">
        <v>7276</v>
      </c>
      <c r="E393" s="35" t="s">
        <v>1070</v>
      </c>
      <c r="F393" s="36">
        <v>0</v>
      </c>
      <c r="G393" s="35" t="s">
        <v>1071</v>
      </c>
      <c r="H393" s="35" t="s">
        <v>1073</v>
      </c>
    </row>
    <row r="394" spans="1:8" ht="23.1" thickBot="1" x14ac:dyDescent="0.6">
      <c r="A394" s="44" t="s">
        <v>7277</v>
      </c>
      <c r="B394" s="37" t="s">
        <v>6529</v>
      </c>
      <c r="C394" s="35" t="s">
        <v>6768</v>
      </c>
      <c r="D394" s="35" t="s">
        <v>7278</v>
      </c>
      <c r="E394" s="35" t="s">
        <v>1074</v>
      </c>
      <c r="F394" s="36">
        <v>0</v>
      </c>
      <c r="G394" s="35" t="s">
        <v>1075</v>
      </c>
      <c r="H394" s="35" t="s">
        <v>1077</v>
      </c>
    </row>
    <row r="395" spans="1:8" ht="23.1" thickBot="1" x14ac:dyDescent="0.6">
      <c r="A395" s="44"/>
      <c r="B395" s="37"/>
      <c r="C395" s="35" t="s">
        <v>6769</v>
      </c>
      <c r="D395" s="35" t="s">
        <v>7279</v>
      </c>
      <c r="E395" s="35" t="s">
        <v>1074</v>
      </c>
      <c r="F395" s="36">
        <v>0</v>
      </c>
      <c r="G395" s="35" t="s">
        <v>1075</v>
      </c>
      <c r="H395" s="35" t="s">
        <v>1077</v>
      </c>
    </row>
    <row r="396" spans="1:8" ht="23.1" thickBot="1" x14ac:dyDescent="0.6">
      <c r="A396" s="44" t="s">
        <v>7280</v>
      </c>
      <c r="B396" s="37" t="s">
        <v>6642</v>
      </c>
      <c r="C396" s="35" t="s">
        <v>6785</v>
      </c>
      <c r="D396" s="35" t="s">
        <v>7281</v>
      </c>
      <c r="E396" s="35" t="s">
        <v>1078</v>
      </c>
      <c r="F396" s="36">
        <v>0</v>
      </c>
      <c r="G396" s="35" t="s">
        <v>1079</v>
      </c>
      <c r="H396" s="35" t="s">
        <v>1081</v>
      </c>
    </row>
    <row r="397" spans="1:8" ht="23.1" thickBot="1" x14ac:dyDescent="0.6">
      <c r="A397" s="44"/>
      <c r="B397" s="37"/>
      <c r="C397" s="35" t="s">
        <v>6786</v>
      </c>
      <c r="D397" s="35" t="s">
        <v>7282</v>
      </c>
      <c r="E397" s="35" t="s">
        <v>1078</v>
      </c>
      <c r="F397" s="36">
        <v>0</v>
      </c>
      <c r="G397" s="35" t="s">
        <v>1079</v>
      </c>
      <c r="H397" s="35" t="s">
        <v>1081</v>
      </c>
    </row>
    <row r="398" spans="1:8" ht="23.1" thickBot="1" x14ac:dyDescent="0.6">
      <c r="A398" s="44"/>
      <c r="B398" s="37"/>
      <c r="C398" s="35"/>
      <c r="D398" s="35"/>
      <c r="E398" s="35" t="s">
        <v>1082</v>
      </c>
      <c r="F398" s="36">
        <v>0</v>
      </c>
      <c r="G398" s="35" t="s">
        <v>1083</v>
      </c>
      <c r="H398" s="35" t="s">
        <v>1085</v>
      </c>
    </row>
    <row r="399" spans="1:8" ht="23.1" thickBot="1" x14ac:dyDescent="0.6">
      <c r="A399" s="44"/>
      <c r="B399" s="37"/>
      <c r="C399" s="35"/>
      <c r="D399" s="35"/>
      <c r="E399" s="35" t="s">
        <v>1086</v>
      </c>
      <c r="F399" s="36">
        <v>0</v>
      </c>
      <c r="G399" s="35" t="s">
        <v>1087</v>
      </c>
      <c r="H399" s="35" t="s">
        <v>1089</v>
      </c>
    </row>
    <row r="400" spans="1:8" ht="23.1" thickBot="1" x14ac:dyDescent="0.6">
      <c r="A400" s="44" t="s">
        <v>7283</v>
      </c>
      <c r="B400" s="37" t="s">
        <v>6704</v>
      </c>
      <c r="C400" s="35" t="s">
        <v>6766</v>
      </c>
      <c r="D400" s="35" t="s">
        <v>7284</v>
      </c>
      <c r="E400" s="35" t="s">
        <v>1090</v>
      </c>
      <c r="F400" s="36">
        <v>0</v>
      </c>
      <c r="G400" s="35" t="s">
        <v>1091</v>
      </c>
      <c r="H400" s="35" t="s">
        <v>1093</v>
      </c>
    </row>
    <row r="401" spans="1:8" ht="23.1" thickBot="1" x14ac:dyDescent="0.6">
      <c r="A401" s="44"/>
      <c r="B401" s="37"/>
      <c r="C401" s="35" t="s">
        <v>6783</v>
      </c>
      <c r="D401" s="35" t="s">
        <v>7285</v>
      </c>
      <c r="E401" s="35" t="s">
        <v>1090</v>
      </c>
      <c r="F401" s="36">
        <v>0</v>
      </c>
      <c r="G401" s="35" t="s">
        <v>1091</v>
      </c>
      <c r="H401" s="35" t="s">
        <v>1093</v>
      </c>
    </row>
    <row r="402" spans="1:8" ht="23.1" thickBot="1" x14ac:dyDescent="0.6">
      <c r="A402" s="44"/>
      <c r="B402" s="37"/>
      <c r="C402" s="35" t="s">
        <v>6767</v>
      </c>
      <c r="D402" s="35" t="s">
        <v>7286</v>
      </c>
      <c r="E402" s="35" t="s">
        <v>1090</v>
      </c>
      <c r="F402" s="36">
        <v>0</v>
      </c>
      <c r="G402" s="35" t="s">
        <v>1091</v>
      </c>
      <c r="H402" s="35" t="s">
        <v>1093</v>
      </c>
    </row>
    <row r="403" spans="1:8" ht="23.1" thickBot="1" x14ac:dyDescent="0.6">
      <c r="A403" s="44"/>
      <c r="B403" s="37"/>
      <c r="C403" s="35"/>
      <c r="D403" s="35"/>
      <c r="E403" s="35" t="s">
        <v>1094</v>
      </c>
      <c r="F403" s="36">
        <v>0</v>
      </c>
      <c r="G403" s="35" t="s">
        <v>1095</v>
      </c>
      <c r="H403" s="35" t="s">
        <v>1097</v>
      </c>
    </row>
    <row r="404" spans="1:8" ht="23.1" thickBot="1" x14ac:dyDescent="0.6">
      <c r="A404" s="44"/>
      <c r="B404" s="37"/>
      <c r="C404" s="35"/>
      <c r="D404" s="35"/>
      <c r="E404" s="35" t="s">
        <v>1098</v>
      </c>
      <c r="F404" s="36">
        <v>0</v>
      </c>
      <c r="G404" s="35" t="s">
        <v>1099</v>
      </c>
      <c r="H404" s="35" t="s">
        <v>1101</v>
      </c>
    </row>
    <row r="405" spans="1:8" ht="23.1" thickBot="1" x14ac:dyDescent="0.6">
      <c r="A405" s="44" t="s">
        <v>7287</v>
      </c>
      <c r="B405" s="37" t="s">
        <v>1102</v>
      </c>
      <c r="C405" s="35" t="s">
        <v>6771</v>
      </c>
      <c r="D405" s="35" t="s">
        <v>7288</v>
      </c>
      <c r="E405" s="35" t="s">
        <v>1104</v>
      </c>
      <c r="F405" s="36">
        <v>0</v>
      </c>
      <c r="G405" s="35" t="s">
        <v>1105</v>
      </c>
      <c r="H405" s="35" t="s">
        <v>1103</v>
      </c>
    </row>
    <row r="406" spans="1:8" ht="14.7" thickBot="1" x14ac:dyDescent="0.6">
      <c r="A406" s="44"/>
      <c r="B406" s="37"/>
      <c r="C406" s="35" t="s">
        <v>6772</v>
      </c>
      <c r="D406" s="35" t="s">
        <v>7289</v>
      </c>
      <c r="E406" s="35"/>
      <c r="F406" s="36"/>
      <c r="G406" s="35"/>
      <c r="H406" s="35"/>
    </row>
    <row r="407" spans="1:8" ht="23.1" thickBot="1" x14ac:dyDescent="0.6">
      <c r="A407" s="44"/>
      <c r="B407" s="37"/>
      <c r="C407" s="35"/>
      <c r="D407" s="35"/>
      <c r="E407" s="35" t="s">
        <v>1107</v>
      </c>
      <c r="F407" s="36">
        <v>1</v>
      </c>
      <c r="G407" s="35" t="s">
        <v>1108</v>
      </c>
      <c r="H407" s="35" t="s">
        <v>1103</v>
      </c>
    </row>
    <row r="408" spans="1:8" ht="23.1" thickBot="1" x14ac:dyDescent="0.6">
      <c r="A408" s="44"/>
      <c r="B408" s="37"/>
      <c r="C408" s="35"/>
      <c r="D408" s="35"/>
      <c r="E408" s="35" t="s">
        <v>1110</v>
      </c>
      <c r="F408" s="36">
        <v>2</v>
      </c>
      <c r="G408" s="35" t="s">
        <v>384</v>
      </c>
      <c r="H408" s="35" t="s">
        <v>1103</v>
      </c>
    </row>
    <row r="409" spans="1:8" ht="23.1" thickBot="1" x14ac:dyDescent="0.6">
      <c r="A409" s="44"/>
      <c r="B409" s="37"/>
      <c r="C409" s="35"/>
      <c r="D409" s="35"/>
      <c r="E409" s="35" t="s">
        <v>1112</v>
      </c>
      <c r="F409" s="36">
        <v>4</v>
      </c>
      <c r="G409" s="35" t="s">
        <v>1113</v>
      </c>
      <c r="H409" s="35" t="s">
        <v>1103</v>
      </c>
    </row>
    <row r="410" spans="1:8" ht="23.1" thickBot="1" x14ac:dyDescent="0.6">
      <c r="A410" s="44"/>
      <c r="B410" s="37"/>
      <c r="C410" s="35"/>
      <c r="D410" s="35"/>
      <c r="E410" s="35" t="s">
        <v>1115</v>
      </c>
      <c r="F410" s="36">
        <v>5</v>
      </c>
      <c r="G410" s="35" t="s">
        <v>1116</v>
      </c>
      <c r="H410" s="35" t="s">
        <v>1103</v>
      </c>
    </row>
    <row r="411" spans="1:8" ht="23.1" thickBot="1" x14ac:dyDescent="0.6">
      <c r="A411" s="44"/>
      <c r="B411" s="37"/>
      <c r="C411" s="35"/>
      <c r="D411" s="35"/>
      <c r="E411" s="35" t="s">
        <v>1118</v>
      </c>
      <c r="F411" s="36">
        <v>6</v>
      </c>
      <c r="G411" s="35" t="s">
        <v>1119</v>
      </c>
      <c r="H411" s="35" t="s">
        <v>1103</v>
      </c>
    </row>
    <row r="412" spans="1:8" ht="23.1" thickBot="1" x14ac:dyDescent="0.6">
      <c r="A412" s="44"/>
      <c r="B412" s="37"/>
      <c r="C412" s="35"/>
      <c r="D412" s="35"/>
      <c r="E412" s="35" t="s">
        <v>1121</v>
      </c>
      <c r="F412" s="36">
        <v>7</v>
      </c>
      <c r="G412" s="35" t="s">
        <v>1122</v>
      </c>
      <c r="H412" s="35" t="s">
        <v>1103</v>
      </c>
    </row>
    <row r="413" spans="1:8" ht="23.1" thickBot="1" x14ac:dyDescent="0.6">
      <c r="A413" s="44"/>
      <c r="B413" s="37"/>
      <c r="C413" s="35"/>
      <c r="D413" s="35"/>
      <c r="E413" s="35" t="s">
        <v>1124</v>
      </c>
      <c r="F413" s="36">
        <v>8</v>
      </c>
      <c r="G413" s="35" t="s">
        <v>186</v>
      </c>
      <c r="H413" s="35" t="s">
        <v>1103</v>
      </c>
    </row>
    <row r="414" spans="1:8" ht="23.1" thickBot="1" x14ac:dyDescent="0.6">
      <c r="A414" s="44"/>
      <c r="B414" s="37"/>
      <c r="C414" s="35"/>
      <c r="D414" s="35"/>
      <c r="E414" s="35" t="s">
        <v>1126</v>
      </c>
      <c r="F414" s="36">
        <v>9</v>
      </c>
      <c r="G414" s="35" t="s">
        <v>1127</v>
      </c>
      <c r="H414" s="35" t="s">
        <v>1103</v>
      </c>
    </row>
    <row r="415" spans="1:8" ht="23.1" thickBot="1" x14ac:dyDescent="0.6">
      <c r="A415" s="44"/>
      <c r="B415" s="37"/>
      <c r="C415" s="35"/>
      <c r="D415" s="35"/>
      <c r="E415" s="35" t="s">
        <v>1129</v>
      </c>
      <c r="F415" s="36">
        <v>10</v>
      </c>
      <c r="G415" s="35" t="s">
        <v>1130</v>
      </c>
      <c r="H415" s="35" t="s">
        <v>1103</v>
      </c>
    </row>
    <row r="416" spans="1:8" ht="23.1" thickBot="1" x14ac:dyDescent="0.6">
      <c r="A416" s="44"/>
      <c r="B416" s="37"/>
      <c r="C416" s="35"/>
      <c r="D416" s="35"/>
      <c r="E416" s="35" t="s">
        <v>1132</v>
      </c>
      <c r="F416" s="36">
        <v>11</v>
      </c>
      <c r="G416" s="35" t="s">
        <v>1133</v>
      </c>
      <c r="H416" s="35" t="s">
        <v>1103</v>
      </c>
    </row>
    <row r="417" spans="1:8" ht="23.1" thickBot="1" x14ac:dyDescent="0.6">
      <c r="A417" s="44"/>
      <c r="B417" s="37"/>
      <c r="C417" s="35"/>
      <c r="D417" s="35"/>
      <c r="E417" s="35" t="s">
        <v>1135</v>
      </c>
      <c r="F417" s="36">
        <v>12</v>
      </c>
      <c r="G417" s="35" t="s">
        <v>1136</v>
      </c>
      <c r="H417" s="35" t="s">
        <v>1103</v>
      </c>
    </row>
    <row r="418" spans="1:8" ht="23.1" thickBot="1" x14ac:dyDescent="0.6">
      <c r="A418" s="44"/>
      <c r="B418" s="37"/>
      <c r="C418" s="35"/>
      <c r="D418" s="35"/>
      <c r="E418" s="35" t="s">
        <v>1138</v>
      </c>
      <c r="F418" s="36">
        <v>13</v>
      </c>
      <c r="G418" s="35" t="s">
        <v>1139</v>
      </c>
      <c r="H418" s="35" t="s">
        <v>1103</v>
      </c>
    </row>
    <row r="419" spans="1:8" ht="23.1" thickBot="1" x14ac:dyDescent="0.6">
      <c r="A419" s="44"/>
      <c r="B419" s="37"/>
      <c r="C419" s="35"/>
      <c r="D419" s="35"/>
      <c r="E419" s="35" t="s">
        <v>1141</v>
      </c>
      <c r="F419" s="36">
        <v>14</v>
      </c>
      <c r="G419" s="35" t="s">
        <v>1142</v>
      </c>
      <c r="H419" s="35" t="s">
        <v>1103</v>
      </c>
    </row>
    <row r="420" spans="1:8" ht="23.1" thickBot="1" x14ac:dyDescent="0.6">
      <c r="A420" s="44"/>
      <c r="B420" s="37"/>
      <c r="C420" s="35"/>
      <c r="D420" s="35"/>
      <c r="E420" s="35" t="s">
        <v>1144</v>
      </c>
      <c r="F420" s="36">
        <v>15</v>
      </c>
      <c r="G420" s="35" t="s">
        <v>1145</v>
      </c>
      <c r="H420" s="35" t="s">
        <v>1103</v>
      </c>
    </row>
    <row r="421" spans="1:8" ht="23.1" thickBot="1" x14ac:dyDescent="0.6">
      <c r="A421" s="44"/>
      <c r="B421" s="37"/>
      <c r="C421" s="35"/>
      <c r="D421" s="35"/>
      <c r="E421" s="35" t="s">
        <v>1147</v>
      </c>
      <c r="F421" s="36">
        <v>16</v>
      </c>
      <c r="G421" s="35" t="s">
        <v>1148</v>
      </c>
      <c r="H421" s="35" t="s">
        <v>1103</v>
      </c>
    </row>
    <row r="422" spans="1:8" ht="23.1" thickBot="1" x14ac:dyDescent="0.6">
      <c r="A422" s="44"/>
      <c r="B422" s="37"/>
      <c r="C422" s="35"/>
      <c r="D422" s="35"/>
      <c r="E422" s="35" t="s">
        <v>1150</v>
      </c>
      <c r="F422" s="36">
        <v>17</v>
      </c>
      <c r="G422" s="35" t="s">
        <v>1151</v>
      </c>
      <c r="H422" s="35" t="s">
        <v>1103</v>
      </c>
    </row>
    <row r="423" spans="1:8" ht="23.1" thickBot="1" x14ac:dyDescent="0.6">
      <c r="A423" s="44"/>
      <c r="B423" s="37"/>
      <c r="C423" s="35"/>
      <c r="D423" s="35"/>
      <c r="E423" s="35" t="s">
        <v>1153</v>
      </c>
      <c r="F423" s="36">
        <v>999</v>
      </c>
      <c r="G423" s="35" t="s">
        <v>135</v>
      </c>
      <c r="H423" s="35" t="s">
        <v>1103</v>
      </c>
    </row>
    <row r="424" spans="1:8" ht="23.1" thickBot="1" x14ac:dyDescent="0.6">
      <c r="A424" s="44" t="s">
        <v>7290</v>
      </c>
      <c r="B424" s="37" t="s">
        <v>6711</v>
      </c>
      <c r="C424" s="35" t="s">
        <v>6771</v>
      </c>
      <c r="D424" s="35" t="s">
        <v>7291</v>
      </c>
      <c r="E424" s="35" t="s">
        <v>1155</v>
      </c>
      <c r="F424" s="36">
        <v>0</v>
      </c>
      <c r="G424" s="35" t="s">
        <v>1156</v>
      </c>
      <c r="H424" s="35" t="s">
        <v>1158</v>
      </c>
    </row>
    <row r="425" spans="1:8" ht="23.1" thickBot="1" x14ac:dyDescent="0.6">
      <c r="A425" s="44" t="s">
        <v>7292</v>
      </c>
      <c r="B425" s="37" t="s">
        <v>6721</v>
      </c>
      <c r="C425" s="35" t="s">
        <v>6784</v>
      </c>
      <c r="D425" s="35" t="s">
        <v>7293</v>
      </c>
      <c r="E425" s="35" t="s">
        <v>1159</v>
      </c>
      <c r="F425" s="36">
        <v>0</v>
      </c>
      <c r="G425" s="35" t="s">
        <v>1160</v>
      </c>
      <c r="H425" s="35" t="s">
        <v>1162</v>
      </c>
    </row>
    <row r="426" spans="1:8" ht="23.1" thickBot="1" x14ac:dyDescent="0.6">
      <c r="A426" s="44" t="s">
        <v>7294</v>
      </c>
      <c r="B426" s="37" t="s">
        <v>6522</v>
      </c>
      <c r="C426" s="35" t="s">
        <v>6773</v>
      </c>
      <c r="D426" s="35" t="s">
        <v>7295</v>
      </c>
      <c r="E426" s="35" t="s">
        <v>1163</v>
      </c>
      <c r="F426" s="36">
        <v>0</v>
      </c>
      <c r="G426" s="35" t="s">
        <v>1164</v>
      </c>
      <c r="H426" s="35" t="s">
        <v>1166</v>
      </c>
    </row>
    <row r="427" spans="1:8" ht="23.1" thickBot="1" x14ac:dyDescent="0.6">
      <c r="A427" s="44"/>
      <c r="B427" s="37"/>
      <c r="C427" s="35" t="s">
        <v>6774</v>
      </c>
      <c r="D427" s="35" t="s">
        <v>7296</v>
      </c>
      <c r="E427" s="35" t="s">
        <v>1163</v>
      </c>
      <c r="F427" s="36">
        <v>0</v>
      </c>
      <c r="G427" s="35" t="s">
        <v>1164</v>
      </c>
      <c r="H427" s="35" t="s">
        <v>1166</v>
      </c>
    </row>
    <row r="428" spans="1:8" ht="23.1" thickBot="1" x14ac:dyDescent="0.6">
      <c r="A428" s="44"/>
      <c r="B428" s="37"/>
      <c r="C428" s="35"/>
      <c r="D428" s="35"/>
      <c r="E428" s="35" t="s">
        <v>1167</v>
      </c>
      <c r="F428" s="36">
        <v>0</v>
      </c>
      <c r="G428" s="35" t="s">
        <v>1168</v>
      </c>
      <c r="H428" s="35" t="s">
        <v>1170</v>
      </c>
    </row>
    <row r="429" spans="1:8" ht="23.1" thickBot="1" x14ac:dyDescent="0.6">
      <c r="A429" s="44" t="s">
        <v>7297</v>
      </c>
      <c r="B429" s="37" t="s">
        <v>6666</v>
      </c>
      <c r="C429" s="35" t="s">
        <v>6748</v>
      </c>
      <c r="D429" s="35" t="s">
        <v>7298</v>
      </c>
      <c r="E429" s="35" t="s">
        <v>1171</v>
      </c>
      <c r="F429" s="36">
        <v>0</v>
      </c>
      <c r="G429" s="35" t="s">
        <v>1172</v>
      </c>
      <c r="H429" s="35" t="s">
        <v>1174</v>
      </c>
    </row>
    <row r="430" spans="1:8" ht="23.1" thickBot="1" x14ac:dyDescent="0.6">
      <c r="A430" s="44"/>
      <c r="B430" s="37"/>
      <c r="C430" s="35" t="s">
        <v>6749</v>
      </c>
      <c r="D430" s="35" t="s">
        <v>7299</v>
      </c>
      <c r="E430" s="35" t="s">
        <v>1171</v>
      </c>
      <c r="F430" s="36">
        <v>0</v>
      </c>
      <c r="G430" s="35" t="s">
        <v>1172</v>
      </c>
      <c r="H430" s="35" t="s">
        <v>1174</v>
      </c>
    </row>
    <row r="431" spans="1:8" ht="23.1" thickBot="1" x14ac:dyDescent="0.6">
      <c r="A431" s="44"/>
      <c r="B431" s="37"/>
      <c r="C431" s="35"/>
      <c r="D431" s="35"/>
      <c r="E431" s="35" t="s">
        <v>1175</v>
      </c>
      <c r="F431" s="36">
        <v>0</v>
      </c>
      <c r="G431" s="35" t="s">
        <v>1176</v>
      </c>
      <c r="H431" s="35" t="s">
        <v>1178</v>
      </c>
    </row>
    <row r="432" spans="1:8" ht="14.7" thickBot="1" x14ac:dyDescent="0.6">
      <c r="A432" s="44" t="s">
        <v>7300</v>
      </c>
      <c r="B432" s="37" t="s">
        <v>6549</v>
      </c>
      <c r="C432" s="35" t="s">
        <v>6771</v>
      </c>
      <c r="D432" s="35" t="s">
        <v>7301</v>
      </c>
      <c r="E432" s="35"/>
      <c r="F432" s="36"/>
      <c r="G432" s="35"/>
      <c r="H432" s="35"/>
    </row>
    <row r="433" spans="1:8" ht="14.7" thickBot="1" x14ac:dyDescent="0.6">
      <c r="A433" s="44"/>
      <c r="B433" s="37"/>
      <c r="C433" s="35" t="s">
        <v>6772</v>
      </c>
      <c r="D433" s="35" t="s">
        <v>7302</v>
      </c>
      <c r="E433" s="35"/>
      <c r="F433" s="36"/>
      <c r="G433" s="35"/>
      <c r="H433" s="35"/>
    </row>
    <row r="434" spans="1:8" ht="23.1" thickBot="1" x14ac:dyDescent="0.6">
      <c r="A434" s="44" t="s">
        <v>7303</v>
      </c>
      <c r="B434" s="37" t="s">
        <v>6404</v>
      </c>
      <c r="C434" s="35" t="s">
        <v>6790</v>
      </c>
      <c r="D434" s="35" t="s">
        <v>7304</v>
      </c>
      <c r="E434" s="35" t="s">
        <v>1179</v>
      </c>
      <c r="F434" s="36">
        <v>0</v>
      </c>
      <c r="G434" s="35" t="s">
        <v>497</v>
      </c>
      <c r="H434" s="35" t="s">
        <v>1181</v>
      </c>
    </row>
    <row r="435" spans="1:8" ht="23.1" thickBot="1" x14ac:dyDescent="0.6">
      <c r="A435" s="44"/>
      <c r="B435" s="37"/>
      <c r="C435" s="35" t="s">
        <v>6789</v>
      </c>
      <c r="D435" s="35" t="s">
        <v>7305</v>
      </c>
      <c r="E435" s="35" t="s">
        <v>1179</v>
      </c>
      <c r="F435" s="36">
        <v>0</v>
      </c>
      <c r="G435" s="35" t="s">
        <v>497</v>
      </c>
      <c r="H435" s="35" t="s">
        <v>1181</v>
      </c>
    </row>
    <row r="436" spans="1:8" ht="14.7" thickBot="1" x14ac:dyDescent="0.6">
      <c r="A436" s="44" t="s">
        <v>7306</v>
      </c>
      <c r="B436" s="37" t="s">
        <v>6403</v>
      </c>
      <c r="C436" s="35" t="s">
        <v>6790</v>
      </c>
      <c r="D436" s="35" t="s">
        <v>7307</v>
      </c>
      <c r="E436" s="38"/>
      <c r="F436" s="36"/>
      <c r="G436" s="35"/>
      <c r="H436" s="35"/>
    </row>
    <row r="437" spans="1:8" ht="14.7" thickBot="1" x14ac:dyDescent="0.6">
      <c r="A437" s="44"/>
      <c r="B437" s="37"/>
      <c r="C437" s="35" t="s">
        <v>6789</v>
      </c>
      <c r="D437" s="35" t="s">
        <v>7308</v>
      </c>
      <c r="E437" s="38"/>
      <c r="F437" s="36"/>
      <c r="G437" s="35"/>
      <c r="H437" s="35"/>
    </row>
    <row r="438" spans="1:8" ht="23.1" thickBot="1" x14ac:dyDescent="0.6">
      <c r="A438" s="44" t="s">
        <v>7309</v>
      </c>
      <c r="B438" s="37" t="s">
        <v>6694</v>
      </c>
      <c r="C438" s="35" t="s">
        <v>6748</v>
      </c>
      <c r="D438" s="35" t="s">
        <v>7310</v>
      </c>
      <c r="E438" s="35" t="s">
        <v>1182</v>
      </c>
      <c r="F438" s="36">
        <v>0</v>
      </c>
      <c r="G438" s="35" t="s">
        <v>1183</v>
      </c>
      <c r="H438" s="35" t="s">
        <v>1185</v>
      </c>
    </row>
    <row r="439" spans="1:8" ht="23.1" thickBot="1" x14ac:dyDescent="0.6">
      <c r="A439" s="44" t="s">
        <v>7311</v>
      </c>
      <c r="B439" s="37" t="s">
        <v>6677</v>
      </c>
      <c r="C439" s="35" t="s">
        <v>6810</v>
      </c>
      <c r="D439" s="35" t="s">
        <v>7312</v>
      </c>
      <c r="E439" s="35" t="s">
        <v>1186</v>
      </c>
      <c r="F439" s="36">
        <v>0</v>
      </c>
      <c r="G439" s="35" t="s">
        <v>1187</v>
      </c>
      <c r="H439" s="35" t="s">
        <v>1189</v>
      </c>
    </row>
    <row r="440" spans="1:8" ht="23.1" thickBot="1" x14ac:dyDescent="0.6">
      <c r="A440" s="44"/>
      <c r="B440" s="37"/>
      <c r="C440" s="35" t="s">
        <v>6811</v>
      </c>
      <c r="D440" s="35" t="s">
        <v>7313</v>
      </c>
      <c r="E440" s="35" t="s">
        <v>1186</v>
      </c>
      <c r="F440" s="36">
        <v>0</v>
      </c>
      <c r="G440" s="35" t="s">
        <v>1187</v>
      </c>
      <c r="H440" s="35" t="s">
        <v>1189</v>
      </c>
    </row>
    <row r="441" spans="1:8" ht="23.1" thickBot="1" x14ac:dyDescent="0.6">
      <c r="A441" s="44" t="s">
        <v>7314</v>
      </c>
      <c r="B441" s="37" t="s">
        <v>6647</v>
      </c>
      <c r="C441" s="35" t="s">
        <v>6810</v>
      </c>
      <c r="D441" s="35" t="s">
        <v>7315</v>
      </c>
      <c r="E441" s="35" t="s">
        <v>1190</v>
      </c>
      <c r="F441" s="36">
        <v>0</v>
      </c>
      <c r="G441" s="35" t="s">
        <v>1191</v>
      </c>
      <c r="H441" s="35" t="s">
        <v>1193</v>
      </c>
    </row>
    <row r="442" spans="1:8" ht="23.1" thickBot="1" x14ac:dyDescent="0.6">
      <c r="A442" s="44"/>
      <c r="B442" s="37"/>
      <c r="C442" s="35" t="s">
        <v>6811</v>
      </c>
      <c r="D442" s="35" t="s">
        <v>7316</v>
      </c>
      <c r="E442" s="35" t="s">
        <v>1190</v>
      </c>
      <c r="F442" s="36">
        <v>0</v>
      </c>
      <c r="G442" s="35" t="s">
        <v>1191</v>
      </c>
      <c r="H442" s="35" t="s">
        <v>1193</v>
      </c>
    </row>
    <row r="443" spans="1:8" ht="23.1" thickBot="1" x14ac:dyDescent="0.6">
      <c r="A443" s="44" t="s">
        <v>7317</v>
      </c>
      <c r="B443" s="37" t="s">
        <v>6496</v>
      </c>
      <c r="C443" s="35" t="s">
        <v>6773</v>
      </c>
      <c r="D443" s="35" t="s">
        <v>7318</v>
      </c>
      <c r="E443" s="35" t="s">
        <v>1194</v>
      </c>
      <c r="F443" s="36">
        <v>0</v>
      </c>
      <c r="G443" s="35" t="s">
        <v>1195</v>
      </c>
      <c r="H443" s="35" t="s">
        <v>1197</v>
      </c>
    </row>
    <row r="444" spans="1:8" ht="23.1" thickBot="1" x14ac:dyDescent="0.6">
      <c r="A444" s="44"/>
      <c r="B444" s="37"/>
      <c r="C444" s="35" t="s">
        <v>6774</v>
      </c>
      <c r="D444" s="35" t="s">
        <v>7319</v>
      </c>
      <c r="E444" s="35" t="s">
        <v>1194</v>
      </c>
      <c r="F444" s="36">
        <v>0</v>
      </c>
      <c r="G444" s="35" t="s">
        <v>1195</v>
      </c>
      <c r="H444" s="35" t="s">
        <v>1197</v>
      </c>
    </row>
    <row r="445" spans="1:8" ht="23.1" thickBot="1" x14ac:dyDescent="0.6">
      <c r="A445" s="44" t="s">
        <v>7320</v>
      </c>
      <c r="B445" s="37" t="s">
        <v>6495</v>
      </c>
      <c r="C445" s="35" t="s">
        <v>6810</v>
      </c>
      <c r="D445" s="35" t="s">
        <v>7321</v>
      </c>
      <c r="E445" s="35" t="s">
        <v>1198</v>
      </c>
      <c r="F445" s="36">
        <v>0</v>
      </c>
      <c r="G445" s="35" t="s">
        <v>1199</v>
      </c>
      <c r="H445" s="35" t="s">
        <v>1201</v>
      </c>
    </row>
    <row r="446" spans="1:8" ht="23.1" thickBot="1" x14ac:dyDescent="0.6">
      <c r="A446" s="44"/>
      <c r="B446" s="37"/>
      <c r="C446" s="35" t="s">
        <v>6811</v>
      </c>
      <c r="D446" s="35" t="s">
        <v>7322</v>
      </c>
      <c r="E446" s="35" t="s">
        <v>1198</v>
      </c>
      <c r="F446" s="36">
        <v>0</v>
      </c>
      <c r="G446" s="35" t="s">
        <v>1199</v>
      </c>
      <c r="H446" s="35" t="s">
        <v>1201</v>
      </c>
    </row>
    <row r="447" spans="1:8" ht="23.1" thickBot="1" x14ac:dyDescent="0.6">
      <c r="A447" s="44"/>
      <c r="B447" s="37"/>
      <c r="C447" s="35"/>
      <c r="D447" s="35"/>
      <c r="E447" s="35" t="s">
        <v>1202</v>
      </c>
      <c r="F447" s="36">
        <v>0</v>
      </c>
      <c r="G447" s="35" t="s">
        <v>1203</v>
      </c>
      <c r="H447" s="35" t="s">
        <v>1205</v>
      </c>
    </row>
    <row r="448" spans="1:8" ht="23.1" thickBot="1" x14ac:dyDescent="0.6">
      <c r="A448" s="44" t="s">
        <v>7323</v>
      </c>
      <c r="B448" s="37" t="s">
        <v>6569</v>
      </c>
      <c r="C448" s="35" t="s">
        <v>6780</v>
      </c>
      <c r="D448" s="35" t="s">
        <v>7324</v>
      </c>
      <c r="E448" s="35" t="s">
        <v>1206</v>
      </c>
      <c r="F448" s="36">
        <v>0</v>
      </c>
      <c r="G448" s="35" t="s">
        <v>1207</v>
      </c>
      <c r="H448" s="35" t="s">
        <v>1209</v>
      </c>
    </row>
    <row r="449" spans="1:8" ht="23.1" thickBot="1" x14ac:dyDescent="0.6">
      <c r="A449" s="44"/>
      <c r="B449" s="37"/>
      <c r="C449" s="35" t="s">
        <v>6744</v>
      </c>
      <c r="D449" s="35" t="s">
        <v>7325</v>
      </c>
      <c r="E449" s="35" t="s">
        <v>1206</v>
      </c>
      <c r="F449" s="36">
        <v>0</v>
      </c>
      <c r="G449" s="35" t="s">
        <v>1207</v>
      </c>
      <c r="H449" s="35" t="s">
        <v>1209</v>
      </c>
    </row>
    <row r="450" spans="1:8" ht="23.1" thickBot="1" x14ac:dyDescent="0.6">
      <c r="A450" s="44"/>
      <c r="B450" s="37"/>
      <c r="C450" s="35"/>
      <c r="D450" s="35"/>
      <c r="E450" s="35" t="s">
        <v>1210</v>
      </c>
      <c r="F450" s="36">
        <v>0</v>
      </c>
      <c r="G450" s="35" t="s">
        <v>1211</v>
      </c>
      <c r="H450" s="35" t="s">
        <v>1213</v>
      </c>
    </row>
    <row r="451" spans="1:8" ht="23.1" thickBot="1" x14ac:dyDescent="0.6">
      <c r="A451" s="44" t="s">
        <v>7326</v>
      </c>
      <c r="B451" s="37" t="s">
        <v>1214</v>
      </c>
      <c r="C451" s="35" t="s">
        <v>6790</v>
      </c>
      <c r="D451" s="35" t="s">
        <v>7327</v>
      </c>
      <c r="E451" s="35" t="s">
        <v>1216</v>
      </c>
      <c r="F451" s="36">
        <v>0</v>
      </c>
      <c r="G451" s="35" t="s">
        <v>1217</v>
      </c>
      <c r="H451" s="35" t="s">
        <v>1215</v>
      </c>
    </row>
    <row r="452" spans="1:8" ht="23.1" thickBot="1" x14ac:dyDescent="0.6">
      <c r="A452" s="44"/>
      <c r="B452" s="37"/>
      <c r="C452" s="35" t="s">
        <v>6789</v>
      </c>
      <c r="D452" s="35" t="s">
        <v>7328</v>
      </c>
      <c r="E452" s="35" t="s">
        <v>1216</v>
      </c>
      <c r="F452" s="36">
        <v>0</v>
      </c>
      <c r="G452" s="35" t="s">
        <v>1217</v>
      </c>
      <c r="H452" s="35" t="s">
        <v>1215</v>
      </c>
    </row>
    <row r="453" spans="1:8" ht="23.1" thickBot="1" x14ac:dyDescent="0.6">
      <c r="A453" s="44"/>
      <c r="B453" s="37"/>
      <c r="C453" s="35"/>
      <c r="D453" s="35"/>
      <c r="E453" s="35" t="s">
        <v>1219</v>
      </c>
      <c r="F453" s="36">
        <v>1</v>
      </c>
      <c r="G453" s="35" t="s">
        <v>1220</v>
      </c>
      <c r="H453" s="35" t="s">
        <v>1215</v>
      </c>
    </row>
    <row r="454" spans="1:8" ht="23.1" thickBot="1" x14ac:dyDescent="0.6">
      <c r="A454" s="44"/>
      <c r="B454" s="37"/>
      <c r="C454" s="35"/>
      <c r="D454" s="35"/>
      <c r="E454" s="35" t="s">
        <v>1222</v>
      </c>
      <c r="F454" s="36">
        <v>2</v>
      </c>
      <c r="G454" s="35" t="s">
        <v>1223</v>
      </c>
      <c r="H454" s="35" t="s">
        <v>1215</v>
      </c>
    </row>
    <row r="455" spans="1:8" ht="23.1" thickBot="1" x14ac:dyDescent="0.6">
      <c r="A455" s="44"/>
      <c r="B455" s="37"/>
      <c r="C455" s="35"/>
      <c r="D455" s="35"/>
      <c r="E455" s="35" t="s">
        <v>1225</v>
      </c>
      <c r="F455" s="36">
        <v>3</v>
      </c>
      <c r="G455" s="35" t="s">
        <v>1226</v>
      </c>
      <c r="H455" s="35" t="s">
        <v>1215</v>
      </c>
    </row>
    <row r="456" spans="1:8" ht="23.1" thickBot="1" x14ac:dyDescent="0.6">
      <c r="A456" s="44"/>
      <c r="B456" s="37"/>
      <c r="C456" s="35"/>
      <c r="D456" s="35"/>
      <c r="E456" s="35" t="s">
        <v>1228</v>
      </c>
      <c r="F456" s="36">
        <v>4</v>
      </c>
      <c r="G456" s="35" t="s">
        <v>555</v>
      </c>
      <c r="H456" s="35" t="s">
        <v>1215</v>
      </c>
    </row>
    <row r="457" spans="1:8" ht="23.1" thickBot="1" x14ac:dyDescent="0.6">
      <c r="A457" s="44"/>
      <c r="B457" s="37"/>
      <c r="C457" s="35"/>
      <c r="D457" s="35"/>
      <c r="E457" s="35" t="s">
        <v>1229</v>
      </c>
      <c r="F457" s="36">
        <v>5</v>
      </c>
      <c r="G457" s="35" t="s">
        <v>1230</v>
      </c>
      <c r="H457" s="35" t="s">
        <v>1215</v>
      </c>
    </row>
    <row r="458" spans="1:8" ht="23.1" thickBot="1" x14ac:dyDescent="0.6">
      <c r="A458" s="44"/>
      <c r="B458" s="37"/>
      <c r="C458" s="35"/>
      <c r="D458" s="35"/>
      <c r="E458" s="35" t="s">
        <v>1232</v>
      </c>
      <c r="F458" s="36">
        <v>6</v>
      </c>
      <c r="G458" s="35" t="s">
        <v>1233</v>
      </c>
      <c r="H458" s="35" t="s">
        <v>1215</v>
      </c>
    </row>
    <row r="459" spans="1:8" ht="23.1" thickBot="1" x14ac:dyDescent="0.6">
      <c r="A459" s="44"/>
      <c r="B459" s="37"/>
      <c r="C459" s="35"/>
      <c r="D459" s="35"/>
      <c r="E459" s="35" t="s">
        <v>1235</v>
      </c>
      <c r="F459" s="36">
        <v>7</v>
      </c>
      <c r="G459" s="35" t="s">
        <v>1236</v>
      </c>
      <c r="H459" s="35" t="s">
        <v>1215</v>
      </c>
    </row>
    <row r="460" spans="1:8" ht="23.1" thickBot="1" x14ac:dyDescent="0.6">
      <c r="A460" s="44"/>
      <c r="B460" s="37"/>
      <c r="C460" s="35"/>
      <c r="D460" s="35"/>
      <c r="E460" s="35" t="s">
        <v>1238</v>
      </c>
      <c r="F460" s="36">
        <v>8</v>
      </c>
      <c r="G460" s="35" t="s">
        <v>1239</v>
      </c>
      <c r="H460" s="35" t="s">
        <v>1215</v>
      </c>
    </row>
    <row r="461" spans="1:8" ht="23.1" thickBot="1" x14ac:dyDescent="0.6">
      <c r="A461" s="44"/>
      <c r="B461" s="37"/>
      <c r="C461" s="35"/>
      <c r="D461" s="35"/>
      <c r="E461" s="35" t="s">
        <v>1241</v>
      </c>
      <c r="F461" s="36">
        <v>9</v>
      </c>
      <c r="G461" s="35" t="s">
        <v>1242</v>
      </c>
      <c r="H461" s="35" t="s">
        <v>1215</v>
      </c>
    </row>
    <row r="462" spans="1:8" ht="23.1" thickBot="1" x14ac:dyDescent="0.6">
      <c r="A462" s="44"/>
      <c r="B462" s="37"/>
      <c r="C462" s="35"/>
      <c r="D462" s="35"/>
      <c r="E462" s="35" t="s">
        <v>1244</v>
      </c>
      <c r="F462" s="36">
        <v>10</v>
      </c>
      <c r="G462" s="35" t="s">
        <v>1245</v>
      </c>
      <c r="H462" s="35" t="s">
        <v>1215</v>
      </c>
    </row>
    <row r="463" spans="1:8" ht="23.1" thickBot="1" x14ac:dyDescent="0.6">
      <c r="A463" s="44"/>
      <c r="B463" s="37"/>
      <c r="C463" s="35"/>
      <c r="D463" s="35"/>
      <c r="E463" s="35" t="s">
        <v>1247</v>
      </c>
      <c r="F463" s="36">
        <v>11</v>
      </c>
      <c r="G463" s="35" t="s">
        <v>1248</v>
      </c>
      <c r="H463" s="35" t="s">
        <v>1215</v>
      </c>
    </row>
    <row r="464" spans="1:8" ht="23.1" thickBot="1" x14ac:dyDescent="0.6">
      <c r="A464" s="44"/>
      <c r="B464" s="37"/>
      <c r="C464" s="35"/>
      <c r="D464" s="35"/>
      <c r="E464" s="35" t="s">
        <v>1250</v>
      </c>
      <c r="F464" s="36">
        <v>12</v>
      </c>
      <c r="G464" s="35" t="s">
        <v>1251</v>
      </c>
      <c r="H464" s="35" t="s">
        <v>1215</v>
      </c>
    </row>
    <row r="465" spans="1:8" ht="23.1" thickBot="1" x14ac:dyDescent="0.6">
      <c r="A465" s="44"/>
      <c r="B465" s="37"/>
      <c r="C465" s="35"/>
      <c r="D465" s="35"/>
      <c r="E465" s="35" t="s">
        <v>1253</v>
      </c>
      <c r="F465" s="36">
        <v>13</v>
      </c>
      <c r="G465" s="35" t="s">
        <v>1254</v>
      </c>
      <c r="H465" s="35" t="s">
        <v>1215</v>
      </c>
    </row>
    <row r="466" spans="1:8" ht="23.1" thickBot="1" x14ac:dyDescent="0.6">
      <c r="A466" s="44"/>
      <c r="B466" s="37"/>
      <c r="C466" s="35"/>
      <c r="D466" s="35"/>
      <c r="E466" s="35" t="s">
        <v>1256</v>
      </c>
      <c r="F466" s="36">
        <v>14</v>
      </c>
      <c r="G466" s="35" t="s">
        <v>1257</v>
      </c>
      <c r="H466" s="35" t="s">
        <v>1215</v>
      </c>
    </row>
    <row r="467" spans="1:8" ht="23.1" thickBot="1" x14ac:dyDescent="0.6">
      <c r="A467" s="44"/>
      <c r="B467" s="37"/>
      <c r="C467" s="35"/>
      <c r="D467" s="35"/>
      <c r="E467" s="35" t="s">
        <v>1258</v>
      </c>
      <c r="F467" s="36">
        <v>15</v>
      </c>
      <c r="G467" s="35" t="s">
        <v>1259</v>
      </c>
      <c r="H467" s="35" t="s">
        <v>1215</v>
      </c>
    </row>
    <row r="468" spans="1:8" ht="23.1" thickBot="1" x14ac:dyDescent="0.6">
      <c r="A468" s="44"/>
      <c r="B468" s="37"/>
      <c r="C468" s="35"/>
      <c r="D468" s="35"/>
      <c r="E468" s="35" t="s">
        <v>1261</v>
      </c>
      <c r="F468" s="36">
        <v>16</v>
      </c>
      <c r="G468" s="35" t="s">
        <v>1262</v>
      </c>
      <c r="H468" s="35" t="s">
        <v>1215</v>
      </c>
    </row>
    <row r="469" spans="1:8" ht="23.1" thickBot="1" x14ac:dyDescent="0.6">
      <c r="A469" s="44"/>
      <c r="B469" s="37"/>
      <c r="C469" s="35"/>
      <c r="D469" s="35"/>
      <c r="E469" s="35" t="s">
        <v>1264</v>
      </c>
      <c r="F469" s="36">
        <v>17</v>
      </c>
      <c r="G469" s="35" t="s">
        <v>1265</v>
      </c>
      <c r="H469" s="35" t="s">
        <v>1215</v>
      </c>
    </row>
    <row r="470" spans="1:8" ht="23.1" thickBot="1" x14ac:dyDescent="0.6">
      <c r="A470" s="44"/>
      <c r="B470" s="37"/>
      <c r="C470" s="35"/>
      <c r="D470" s="35"/>
      <c r="E470" s="35" t="s">
        <v>1267</v>
      </c>
      <c r="F470" s="36">
        <v>18</v>
      </c>
      <c r="G470" s="35" t="s">
        <v>1268</v>
      </c>
      <c r="H470" s="35" t="s">
        <v>1215</v>
      </c>
    </row>
    <row r="471" spans="1:8" ht="23.1" thickBot="1" x14ac:dyDescent="0.6">
      <c r="A471" s="44"/>
      <c r="B471" s="37"/>
      <c r="C471" s="35"/>
      <c r="D471" s="35"/>
      <c r="E471" s="35" t="s">
        <v>1270</v>
      </c>
      <c r="F471" s="36">
        <v>19</v>
      </c>
      <c r="G471" s="35" t="s">
        <v>1271</v>
      </c>
      <c r="H471" s="35" t="s">
        <v>1215</v>
      </c>
    </row>
    <row r="472" spans="1:8" ht="23.1" thickBot="1" x14ac:dyDescent="0.6">
      <c r="A472" s="44"/>
      <c r="B472" s="37"/>
      <c r="C472" s="35"/>
      <c r="D472" s="35"/>
      <c r="E472" s="35" t="s">
        <v>1273</v>
      </c>
      <c r="F472" s="36">
        <v>20</v>
      </c>
      <c r="G472" s="35" t="s">
        <v>1274</v>
      </c>
      <c r="H472" s="35" t="s">
        <v>1215</v>
      </c>
    </row>
    <row r="473" spans="1:8" ht="23.1" thickBot="1" x14ac:dyDescent="0.6">
      <c r="A473" s="44"/>
      <c r="B473" s="37"/>
      <c r="C473" s="35"/>
      <c r="D473" s="35"/>
      <c r="E473" s="35" t="s">
        <v>1276</v>
      </c>
      <c r="F473" s="36">
        <v>999</v>
      </c>
      <c r="G473" s="35" t="s">
        <v>135</v>
      </c>
      <c r="H473" s="35" t="s">
        <v>1215</v>
      </c>
    </row>
    <row r="474" spans="1:8" ht="23.1" thickBot="1" x14ac:dyDescent="0.6">
      <c r="A474" s="44" t="s">
        <v>7329</v>
      </c>
      <c r="B474" s="37" t="s">
        <v>6575</v>
      </c>
      <c r="C474" s="35" t="s">
        <v>6810</v>
      </c>
      <c r="D474" s="35" t="s">
        <v>7330</v>
      </c>
      <c r="E474" s="35" t="s">
        <v>1278</v>
      </c>
      <c r="F474" s="36">
        <v>0</v>
      </c>
      <c r="G474" s="35" t="s">
        <v>1279</v>
      </c>
      <c r="H474" s="35" t="s">
        <v>1281</v>
      </c>
    </row>
    <row r="475" spans="1:8" ht="23.1" thickBot="1" x14ac:dyDescent="0.6">
      <c r="A475" s="44"/>
      <c r="B475" s="37"/>
      <c r="C475" s="35" t="s">
        <v>6811</v>
      </c>
      <c r="D475" s="35" t="s">
        <v>7331</v>
      </c>
      <c r="E475" s="35" t="s">
        <v>1278</v>
      </c>
      <c r="F475" s="36">
        <v>0</v>
      </c>
      <c r="G475" s="35" t="s">
        <v>1279</v>
      </c>
      <c r="H475" s="35" t="s">
        <v>1281</v>
      </c>
    </row>
    <row r="476" spans="1:8" ht="23.1" thickBot="1" x14ac:dyDescent="0.6">
      <c r="A476" s="44" t="s">
        <v>7332</v>
      </c>
      <c r="B476" s="37" t="s">
        <v>6679</v>
      </c>
      <c r="C476" s="35" t="s">
        <v>6810</v>
      </c>
      <c r="D476" s="35" t="s">
        <v>7333</v>
      </c>
      <c r="E476" s="35" t="s">
        <v>1282</v>
      </c>
      <c r="F476" s="36">
        <v>0</v>
      </c>
      <c r="G476" s="35" t="s">
        <v>1283</v>
      </c>
      <c r="H476" s="35" t="s">
        <v>1285</v>
      </c>
    </row>
    <row r="477" spans="1:8" ht="23.1" thickBot="1" x14ac:dyDescent="0.6">
      <c r="A477" s="44"/>
      <c r="B477" s="37"/>
      <c r="C477" s="35" t="s">
        <v>6811</v>
      </c>
      <c r="D477" s="35" t="s">
        <v>7334</v>
      </c>
      <c r="E477" s="35" t="s">
        <v>1282</v>
      </c>
      <c r="F477" s="36">
        <v>0</v>
      </c>
      <c r="G477" s="35" t="s">
        <v>1283</v>
      </c>
      <c r="H477" s="35" t="s">
        <v>1285</v>
      </c>
    </row>
    <row r="478" spans="1:8" ht="23.1" thickBot="1" x14ac:dyDescent="0.6">
      <c r="A478" s="44" t="s">
        <v>7335</v>
      </c>
      <c r="B478" s="37" t="s">
        <v>6690</v>
      </c>
      <c r="C478" s="35" t="s">
        <v>6810</v>
      </c>
      <c r="D478" s="35" t="s">
        <v>7336</v>
      </c>
      <c r="E478" s="35" t="s">
        <v>1286</v>
      </c>
      <c r="F478" s="36">
        <v>0</v>
      </c>
      <c r="G478" s="35" t="s">
        <v>1287</v>
      </c>
      <c r="H478" s="35" t="s">
        <v>1289</v>
      </c>
    </row>
    <row r="479" spans="1:8" ht="23.1" thickBot="1" x14ac:dyDescent="0.6">
      <c r="A479" s="44"/>
      <c r="B479" s="37"/>
      <c r="C479" s="35" t="s">
        <v>6811</v>
      </c>
      <c r="D479" s="35" t="s">
        <v>7337</v>
      </c>
      <c r="E479" s="35" t="s">
        <v>1286</v>
      </c>
      <c r="F479" s="36">
        <v>0</v>
      </c>
      <c r="G479" s="35" t="s">
        <v>1287</v>
      </c>
      <c r="H479" s="35" t="s">
        <v>1289</v>
      </c>
    </row>
    <row r="480" spans="1:8" ht="23.1" thickBot="1" x14ac:dyDescent="0.6">
      <c r="A480" s="44" t="s">
        <v>7338</v>
      </c>
      <c r="B480" s="37" t="s">
        <v>6484</v>
      </c>
      <c r="C480" s="35" t="s">
        <v>6810</v>
      </c>
      <c r="D480" s="35" t="s">
        <v>7339</v>
      </c>
      <c r="E480" s="35" t="s">
        <v>1290</v>
      </c>
      <c r="F480" s="36">
        <v>0</v>
      </c>
      <c r="G480" s="35" t="s">
        <v>1291</v>
      </c>
      <c r="H480" s="35" t="s">
        <v>1293</v>
      </c>
    </row>
    <row r="481" spans="1:8" ht="23.1" thickBot="1" x14ac:dyDescent="0.6">
      <c r="A481" s="44"/>
      <c r="B481" s="37"/>
      <c r="C481" s="35" t="s">
        <v>6811</v>
      </c>
      <c r="D481" s="35" t="s">
        <v>7340</v>
      </c>
      <c r="E481" s="35" t="s">
        <v>1290</v>
      </c>
      <c r="F481" s="36">
        <v>0</v>
      </c>
      <c r="G481" s="35" t="s">
        <v>1291</v>
      </c>
      <c r="H481" s="35" t="s">
        <v>1293</v>
      </c>
    </row>
    <row r="482" spans="1:8" ht="23.1" thickBot="1" x14ac:dyDescent="0.6">
      <c r="A482" s="44" t="s">
        <v>7341</v>
      </c>
      <c r="B482" s="37" t="s">
        <v>6729</v>
      </c>
      <c r="C482" s="35" t="s">
        <v>6810</v>
      </c>
      <c r="D482" s="35" t="s">
        <v>7342</v>
      </c>
      <c r="E482" s="35" t="s">
        <v>1294</v>
      </c>
      <c r="F482" s="36">
        <v>0</v>
      </c>
      <c r="G482" s="35" t="s">
        <v>1119</v>
      </c>
      <c r="H482" s="35" t="s">
        <v>1296</v>
      </c>
    </row>
    <row r="483" spans="1:8" ht="23.1" thickBot="1" x14ac:dyDescent="0.6">
      <c r="A483" s="44"/>
      <c r="B483" s="37"/>
      <c r="C483" s="35" t="s">
        <v>6811</v>
      </c>
      <c r="D483" s="35" t="s">
        <v>7343</v>
      </c>
      <c r="E483" s="35" t="s">
        <v>1294</v>
      </c>
      <c r="F483" s="36">
        <v>0</v>
      </c>
      <c r="G483" s="35" t="s">
        <v>1119</v>
      </c>
      <c r="H483" s="35" t="s">
        <v>1296</v>
      </c>
    </row>
    <row r="484" spans="1:8" ht="14.7" thickBot="1" x14ac:dyDescent="0.6">
      <c r="A484" s="44"/>
      <c r="B484" s="37"/>
      <c r="C484" s="35"/>
      <c r="D484" s="35"/>
      <c r="E484" s="35" t="s">
        <v>1297</v>
      </c>
      <c r="F484" s="36">
        <v>0</v>
      </c>
      <c r="G484" s="35" t="s">
        <v>1298</v>
      </c>
      <c r="H484" s="35" t="s">
        <v>1300</v>
      </c>
    </row>
    <row r="485" spans="1:8" ht="23.1" thickBot="1" x14ac:dyDescent="0.6">
      <c r="A485" s="44"/>
      <c r="B485" s="37"/>
      <c r="C485" s="35"/>
      <c r="D485" s="35"/>
      <c r="E485" s="35" t="s">
        <v>1301</v>
      </c>
      <c r="F485" s="36">
        <v>0</v>
      </c>
      <c r="G485" s="35" t="s">
        <v>1302</v>
      </c>
      <c r="H485" s="35" t="s">
        <v>1304</v>
      </c>
    </row>
    <row r="486" spans="1:8" ht="23.1" thickBot="1" x14ac:dyDescent="0.6">
      <c r="A486" s="44" t="s">
        <v>7344</v>
      </c>
      <c r="B486" s="37" t="s">
        <v>1305</v>
      </c>
      <c r="C486" s="35" t="s">
        <v>6766</v>
      </c>
      <c r="D486" s="35" t="s">
        <v>7345</v>
      </c>
      <c r="E486" s="35" t="s">
        <v>1307</v>
      </c>
      <c r="F486" s="36">
        <v>0</v>
      </c>
      <c r="G486" s="35" t="s">
        <v>1308</v>
      </c>
      <c r="H486" s="35" t="s">
        <v>1306</v>
      </c>
    </row>
    <row r="487" spans="1:8" ht="23.1" thickBot="1" x14ac:dyDescent="0.6">
      <c r="A487" s="44"/>
      <c r="B487" s="37"/>
      <c r="C487" s="35"/>
      <c r="D487" s="35"/>
      <c r="E487" s="35" t="s">
        <v>1310</v>
      </c>
      <c r="F487" s="36">
        <v>2</v>
      </c>
      <c r="G487" s="35" t="s">
        <v>1311</v>
      </c>
      <c r="H487" s="35" t="s">
        <v>1306</v>
      </c>
    </row>
    <row r="488" spans="1:8" ht="23.1" thickBot="1" x14ac:dyDescent="0.6">
      <c r="A488" s="44"/>
      <c r="B488" s="37"/>
      <c r="C488" s="35"/>
      <c r="D488" s="35"/>
      <c r="E488" s="35" t="s">
        <v>1313</v>
      </c>
      <c r="F488" s="36">
        <v>3</v>
      </c>
      <c r="G488" s="35" t="s">
        <v>1314</v>
      </c>
      <c r="H488" s="35" t="s">
        <v>1306</v>
      </c>
    </row>
    <row r="489" spans="1:8" ht="23.1" thickBot="1" x14ac:dyDescent="0.6">
      <c r="A489" s="44"/>
      <c r="B489" s="37"/>
      <c r="C489" s="35"/>
      <c r="D489" s="35"/>
      <c r="E489" s="35" t="s">
        <v>1316</v>
      </c>
      <c r="F489" s="36">
        <v>6</v>
      </c>
      <c r="G489" s="35" t="s">
        <v>1317</v>
      </c>
      <c r="H489" s="35" t="s">
        <v>1306</v>
      </c>
    </row>
    <row r="490" spans="1:8" ht="23.1" thickBot="1" x14ac:dyDescent="0.6">
      <c r="A490" s="44"/>
      <c r="B490" s="37"/>
      <c r="C490" s="35"/>
      <c r="D490" s="35"/>
      <c r="E490" s="35" t="s">
        <v>1319</v>
      </c>
      <c r="F490" s="36">
        <v>8</v>
      </c>
      <c r="G490" s="35" t="s">
        <v>1320</v>
      </c>
      <c r="H490" s="35" t="s">
        <v>1306</v>
      </c>
    </row>
    <row r="491" spans="1:8" ht="23.1" thickBot="1" x14ac:dyDescent="0.6">
      <c r="A491" s="44"/>
      <c r="B491" s="37"/>
      <c r="C491" s="35"/>
      <c r="D491" s="35"/>
      <c r="E491" s="35" t="s">
        <v>1322</v>
      </c>
      <c r="F491" s="36">
        <v>10</v>
      </c>
      <c r="G491" s="35" t="s">
        <v>1323</v>
      </c>
      <c r="H491" s="35" t="s">
        <v>1306</v>
      </c>
    </row>
    <row r="492" spans="1:8" ht="23.1" thickBot="1" x14ac:dyDescent="0.6">
      <c r="A492" s="44"/>
      <c r="B492" s="37"/>
      <c r="C492" s="35"/>
      <c r="D492" s="35"/>
      <c r="E492" s="35" t="s">
        <v>1325</v>
      </c>
      <c r="F492" s="36">
        <v>11</v>
      </c>
      <c r="G492" s="35" t="s">
        <v>1326</v>
      </c>
      <c r="H492" s="35" t="s">
        <v>1306</v>
      </c>
    </row>
    <row r="493" spans="1:8" ht="23.1" thickBot="1" x14ac:dyDescent="0.6">
      <c r="A493" s="44"/>
      <c r="B493" s="37"/>
      <c r="C493" s="35"/>
      <c r="D493" s="35"/>
      <c r="E493" s="35" t="s">
        <v>1328</v>
      </c>
      <c r="F493" s="36">
        <v>13</v>
      </c>
      <c r="G493" s="35" t="s">
        <v>1329</v>
      </c>
      <c r="H493" s="35" t="s">
        <v>1306</v>
      </c>
    </row>
    <row r="494" spans="1:8" ht="23.1" thickBot="1" x14ac:dyDescent="0.6">
      <c r="A494" s="44"/>
      <c r="B494" s="37"/>
      <c r="C494" s="35"/>
      <c r="D494" s="35"/>
      <c r="E494" s="35" t="s">
        <v>1331</v>
      </c>
      <c r="F494" s="36">
        <v>14</v>
      </c>
      <c r="G494" s="35" t="s">
        <v>1332</v>
      </c>
      <c r="H494" s="35" t="s">
        <v>1306</v>
      </c>
    </row>
    <row r="495" spans="1:8" ht="23.1" thickBot="1" x14ac:dyDescent="0.6">
      <c r="A495" s="44"/>
      <c r="B495" s="37"/>
      <c r="C495" s="35"/>
      <c r="D495" s="35"/>
      <c r="E495" s="35" t="s">
        <v>1334</v>
      </c>
      <c r="F495" s="36">
        <v>15</v>
      </c>
      <c r="G495" s="35" t="s">
        <v>1335</v>
      </c>
      <c r="H495" s="35" t="s">
        <v>1306</v>
      </c>
    </row>
    <row r="496" spans="1:8" ht="23.1" thickBot="1" x14ac:dyDescent="0.6">
      <c r="A496" s="44"/>
      <c r="B496" s="37"/>
      <c r="C496" s="35"/>
      <c r="D496" s="35"/>
      <c r="E496" s="35" t="s">
        <v>1337</v>
      </c>
      <c r="F496" s="36">
        <v>16</v>
      </c>
      <c r="G496" s="35" t="s">
        <v>1338</v>
      </c>
      <c r="H496" s="35" t="s">
        <v>1306</v>
      </c>
    </row>
    <row r="497" spans="1:8" ht="23.1" thickBot="1" x14ac:dyDescent="0.6">
      <c r="A497" s="44"/>
      <c r="B497" s="37"/>
      <c r="C497" s="35"/>
      <c r="D497" s="35"/>
      <c r="E497" s="35" t="s">
        <v>1340</v>
      </c>
      <c r="F497" s="36">
        <v>17</v>
      </c>
      <c r="G497" s="35" t="s">
        <v>1341</v>
      </c>
      <c r="H497" s="35" t="s">
        <v>1306</v>
      </c>
    </row>
    <row r="498" spans="1:8" ht="23.1" thickBot="1" x14ac:dyDescent="0.6">
      <c r="A498" s="44"/>
      <c r="B498" s="37"/>
      <c r="C498" s="35"/>
      <c r="D498" s="35"/>
      <c r="E498" s="35" t="s">
        <v>1343</v>
      </c>
      <c r="F498" s="36">
        <v>21</v>
      </c>
      <c r="G498" s="35" t="s">
        <v>1344</v>
      </c>
      <c r="H498" s="35" t="s">
        <v>1306</v>
      </c>
    </row>
    <row r="499" spans="1:8" ht="23.1" thickBot="1" x14ac:dyDescent="0.6">
      <c r="A499" s="44"/>
      <c r="B499" s="37"/>
      <c r="C499" s="35"/>
      <c r="D499" s="35"/>
      <c r="E499" s="35" t="s">
        <v>1346</v>
      </c>
      <c r="F499" s="36">
        <v>999</v>
      </c>
      <c r="G499" s="35" t="s">
        <v>135</v>
      </c>
      <c r="H499" s="35" t="s">
        <v>1306</v>
      </c>
    </row>
    <row r="500" spans="1:8" ht="23.1" thickBot="1" x14ac:dyDescent="0.6">
      <c r="A500" s="44"/>
      <c r="B500" s="37"/>
      <c r="C500" s="35"/>
      <c r="D500" s="35"/>
      <c r="E500" s="35" t="s">
        <v>1348</v>
      </c>
      <c r="F500" s="36">
        <v>0</v>
      </c>
      <c r="G500" s="35" t="s">
        <v>1349</v>
      </c>
      <c r="H500" s="35" t="s">
        <v>1351</v>
      </c>
    </row>
    <row r="501" spans="1:8" ht="23.1" thickBot="1" x14ac:dyDescent="0.6">
      <c r="A501" s="44" t="s">
        <v>7346</v>
      </c>
      <c r="B501" s="37" t="s">
        <v>6613</v>
      </c>
      <c r="C501" s="35" t="s">
        <v>6766</v>
      </c>
      <c r="D501" s="35" t="s">
        <v>7347</v>
      </c>
      <c r="E501" s="35" t="s">
        <v>1352</v>
      </c>
      <c r="F501" s="36">
        <v>0</v>
      </c>
      <c r="G501" s="35" t="s">
        <v>1353</v>
      </c>
      <c r="H501" s="35" t="s">
        <v>1355</v>
      </c>
    </row>
    <row r="502" spans="1:8" ht="23.1" thickBot="1" x14ac:dyDescent="0.6">
      <c r="A502" s="44" t="s">
        <v>7348</v>
      </c>
      <c r="B502" s="37" t="s">
        <v>6616</v>
      </c>
      <c r="C502" s="35" t="s">
        <v>6802</v>
      </c>
      <c r="D502" s="35" t="s">
        <v>7349</v>
      </c>
      <c r="E502" s="35" t="s">
        <v>1356</v>
      </c>
      <c r="F502" s="36">
        <v>0</v>
      </c>
      <c r="G502" s="35" t="s">
        <v>1357</v>
      </c>
      <c r="H502" s="35" t="s">
        <v>1359</v>
      </c>
    </row>
    <row r="503" spans="1:8" ht="23.1" thickBot="1" x14ac:dyDescent="0.6">
      <c r="A503" s="44"/>
      <c r="B503" s="37"/>
      <c r="C503" s="35" t="s">
        <v>6767</v>
      </c>
      <c r="D503" s="35" t="s">
        <v>7350</v>
      </c>
      <c r="E503" s="35" t="s">
        <v>1356</v>
      </c>
      <c r="F503" s="36">
        <v>0</v>
      </c>
      <c r="G503" s="35" t="s">
        <v>1357</v>
      </c>
      <c r="H503" s="35" t="s">
        <v>1359</v>
      </c>
    </row>
    <row r="504" spans="1:8" ht="23.1" thickBot="1" x14ac:dyDescent="0.6">
      <c r="A504" s="44"/>
      <c r="B504" s="37"/>
      <c r="C504" s="35"/>
      <c r="D504" s="35"/>
      <c r="E504" s="35" t="s">
        <v>1360</v>
      </c>
      <c r="F504" s="36">
        <v>0</v>
      </c>
      <c r="G504" s="35" t="s">
        <v>1361</v>
      </c>
      <c r="H504" s="35" t="s">
        <v>1363</v>
      </c>
    </row>
    <row r="505" spans="1:8" ht="23.1" thickBot="1" x14ac:dyDescent="0.6">
      <c r="A505" s="44" t="s">
        <v>7351</v>
      </c>
      <c r="B505" s="37" t="s">
        <v>6615</v>
      </c>
      <c r="C505" s="35" t="s">
        <v>6783</v>
      </c>
      <c r="D505" s="35" t="s">
        <v>7352</v>
      </c>
      <c r="E505" s="35" t="s">
        <v>1364</v>
      </c>
      <c r="F505" s="36">
        <v>0</v>
      </c>
      <c r="G505" s="35" t="s">
        <v>1365</v>
      </c>
      <c r="H505" s="35" t="s">
        <v>1367</v>
      </c>
    </row>
    <row r="506" spans="1:8" ht="23.1" thickBot="1" x14ac:dyDescent="0.6">
      <c r="A506" s="44"/>
      <c r="B506" s="37"/>
      <c r="C506" s="35" t="s">
        <v>6767</v>
      </c>
      <c r="D506" s="35" t="s">
        <v>7353</v>
      </c>
      <c r="E506" s="35" t="s">
        <v>1364</v>
      </c>
      <c r="F506" s="36">
        <v>0</v>
      </c>
      <c r="G506" s="35" t="s">
        <v>1365</v>
      </c>
      <c r="H506" s="35" t="s">
        <v>1367</v>
      </c>
    </row>
    <row r="507" spans="1:8" ht="23.1" thickBot="1" x14ac:dyDescent="0.6">
      <c r="A507" s="44" t="s">
        <v>7354</v>
      </c>
      <c r="B507" s="37" t="s">
        <v>6629</v>
      </c>
      <c r="C507" s="35" t="s">
        <v>6783</v>
      </c>
      <c r="D507" s="35" t="s">
        <v>7355</v>
      </c>
      <c r="E507" s="35" t="s">
        <v>1368</v>
      </c>
      <c r="F507" s="36">
        <v>0</v>
      </c>
      <c r="G507" s="35" t="s">
        <v>558</v>
      </c>
      <c r="H507" s="35" t="s">
        <v>1370</v>
      </c>
    </row>
    <row r="508" spans="1:8" ht="23.1" thickBot="1" x14ac:dyDescent="0.6">
      <c r="A508" s="44"/>
      <c r="B508" s="37"/>
      <c r="C508" s="35" t="s">
        <v>6767</v>
      </c>
      <c r="D508" s="35" t="s">
        <v>7356</v>
      </c>
      <c r="E508" s="35" t="s">
        <v>1368</v>
      </c>
      <c r="F508" s="36">
        <v>0</v>
      </c>
      <c r="G508" s="35" t="s">
        <v>558</v>
      </c>
      <c r="H508" s="35" t="s">
        <v>1370</v>
      </c>
    </row>
    <row r="509" spans="1:8" ht="23.1" thickBot="1" x14ac:dyDescent="0.6">
      <c r="A509" s="44"/>
      <c r="B509" s="37"/>
      <c r="C509" s="35"/>
      <c r="D509" s="35"/>
      <c r="E509" s="35" t="s">
        <v>1371</v>
      </c>
      <c r="F509" s="36">
        <v>0</v>
      </c>
      <c r="G509" s="35" t="s">
        <v>1372</v>
      </c>
      <c r="H509" s="35" t="s">
        <v>1374</v>
      </c>
    </row>
    <row r="510" spans="1:8" ht="23.1" thickBot="1" x14ac:dyDescent="0.6">
      <c r="A510" s="44" t="s">
        <v>7357</v>
      </c>
      <c r="B510" s="37" t="s">
        <v>6614</v>
      </c>
      <c r="C510" s="35" t="s">
        <v>6783</v>
      </c>
      <c r="D510" s="35" t="s">
        <v>7358</v>
      </c>
      <c r="E510" s="35" t="s">
        <v>1375</v>
      </c>
      <c r="F510" s="36">
        <v>0</v>
      </c>
      <c r="G510" s="35" t="s">
        <v>1376</v>
      </c>
      <c r="H510" s="35" t="s">
        <v>1378</v>
      </c>
    </row>
    <row r="511" spans="1:8" ht="23.1" thickBot="1" x14ac:dyDescent="0.6">
      <c r="A511" s="44" t="s">
        <v>7359</v>
      </c>
      <c r="B511" s="37" t="s">
        <v>6402</v>
      </c>
      <c r="C511" s="35" t="s">
        <v>6766</v>
      </c>
      <c r="D511" s="35" t="s">
        <v>7360</v>
      </c>
      <c r="E511" s="35" t="s">
        <v>1379</v>
      </c>
      <c r="F511" s="36">
        <v>0</v>
      </c>
      <c r="G511" s="35" t="s">
        <v>1380</v>
      </c>
      <c r="H511" s="35" t="s">
        <v>1382</v>
      </c>
    </row>
    <row r="512" spans="1:8" ht="23.1" thickBot="1" x14ac:dyDescent="0.6">
      <c r="A512" s="44" t="s">
        <v>7361</v>
      </c>
      <c r="B512" s="37" t="s">
        <v>1383</v>
      </c>
      <c r="C512" s="35" t="s">
        <v>6783</v>
      </c>
      <c r="D512" s="35" t="s">
        <v>7362</v>
      </c>
      <c r="E512" s="35" t="s">
        <v>1385</v>
      </c>
      <c r="F512" s="36">
        <v>0</v>
      </c>
      <c r="G512" s="35" t="s">
        <v>1386</v>
      </c>
      <c r="H512" s="35" t="s">
        <v>1384</v>
      </c>
    </row>
    <row r="513" spans="1:8" ht="23.1" thickBot="1" x14ac:dyDescent="0.6">
      <c r="A513" s="44"/>
      <c r="B513" s="37"/>
      <c r="C513" s="35"/>
      <c r="D513" s="35"/>
      <c r="E513" s="35" t="s">
        <v>1388</v>
      </c>
      <c r="F513" s="36">
        <v>1</v>
      </c>
      <c r="G513" s="35" t="s">
        <v>1389</v>
      </c>
      <c r="H513" s="35" t="s">
        <v>1384</v>
      </c>
    </row>
    <row r="514" spans="1:8" ht="23.1" thickBot="1" x14ac:dyDescent="0.6">
      <c r="A514" s="44"/>
      <c r="B514" s="37"/>
      <c r="C514" s="35"/>
      <c r="D514" s="35"/>
      <c r="E514" s="35" t="s">
        <v>1391</v>
      </c>
      <c r="F514" s="36">
        <v>2</v>
      </c>
      <c r="G514" s="35" t="s">
        <v>1392</v>
      </c>
      <c r="H514" s="35" t="s">
        <v>1384</v>
      </c>
    </row>
    <row r="515" spans="1:8" ht="23.1" thickBot="1" x14ac:dyDescent="0.6">
      <c r="A515" s="44"/>
      <c r="B515" s="37"/>
      <c r="C515" s="35"/>
      <c r="D515" s="35"/>
      <c r="E515" s="35" t="s">
        <v>1394</v>
      </c>
      <c r="F515" s="36">
        <v>3</v>
      </c>
      <c r="G515" s="35" t="s">
        <v>1395</v>
      </c>
      <c r="H515" s="35" t="s">
        <v>1384</v>
      </c>
    </row>
    <row r="516" spans="1:8" ht="23.1" thickBot="1" x14ac:dyDescent="0.6">
      <c r="A516" s="44"/>
      <c r="B516" s="37"/>
      <c r="C516" s="35"/>
      <c r="D516" s="35"/>
      <c r="E516" s="35" t="s">
        <v>1397</v>
      </c>
      <c r="F516" s="36">
        <v>4</v>
      </c>
      <c r="G516" s="35" t="s">
        <v>1398</v>
      </c>
      <c r="H516" s="35" t="s">
        <v>1384</v>
      </c>
    </row>
    <row r="517" spans="1:8" ht="23.1" thickBot="1" x14ac:dyDescent="0.6">
      <c r="A517" s="44"/>
      <c r="B517" s="37"/>
      <c r="C517" s="35"/>
      <c r="D517" s="35"/>
      <c r="E517" s="35" t="s">
        <v>1400</v>
      </c>
      <c r="F517" s="36">
        <v>5</v>
      </c>
      <c r="G517" s="35" t="s">
        <v>1401</v>
      </c>
      <c r="H517" s="35" t="s">
        <v>1384</v>
      </c>
    </row>
    <row r="518" spans="1:8" ht="23.1" thickBot="1" x14ac:dyDescent="0.6">
      <c r="A518" s="44"/>
      <c r="B518" s="37"/>
      <c r="C518" s="35"/>
      <c r="D518" s="35"/>
      <c r="E518" s="35" t="s">
        <v>1403</v>
      </c>
      <c r="F518" s="36">
        <v>6</v>
      </c>
      <c r="G518" s="35" t="s">
        <v>1404</v>
      </c>
      <c r="H518" s="35" t="s">
        <v>1384</v>
      </c>
    </row>
    <row r="519" spans="1:8" ht="23.1" thickBot="1" x14ac:dyDescent="0.6">
      <c r="A519" s="44"/>
      <c r="B519" s="37"/>
      <c r="C519" s="35"/>
      <c r="D519" s="35"/>
      <c r="E519" s="35" t="s">
        <v>1406</v>
      </c>
      <c r="F519" s="36">
        <v>7</v>
      </c>
      <c r="G519" s="35" t="s">
        <v>1407</v>
      </c>
      <c r="H519" s="35" t="s">
        <v>1384</v>
      </c>
    </row>
    <row r="520" spans="1:8" ht="23.1" thickBot="1" x14ac:dyDescent="0.6">
      <c r="A520" s="44"/>
      <c r="B520" s="37"/>
      <c r="C520" s="35"/>
      <c r="D520" s="35"/>
      <c r="E520" s="35" t="s">
        <v>1409</v>
      </c>
      <c r="F520" s="36">
        <v>8</v>
      </c>
      <c r="G520" s="35" t="s">
        <v>1410</v>
      </c>
      <c r="H520" s="35" t="s">
        <v>1384</v>
      </c>
    </row>
    <row r="521" spans="1:8" ht="23.1" thickBot="1" x14ac:dyDescent="0.6">
      <c r="A521" s="44"/>
      <c r="B521" s="37"/>
      <c r="C521" s="35"/>
      <c r="D521" s="35"/>
      <c r="E521" s="35" t="s">
        <v>1412</v>
      </c>
      <c r="F521" s="36">
        <v>9</v>
      </c>
      <c r="G521" s="35" t="s">
        <v>1413</v>
      </c>
      <c r="H521" s="35" t="s">
        <v>1384</v>
      </c>
    </row>
    <row r="522" spans="1:8" ht="23.1" thickBot="1" x14ac:dyDescent="0.6">
      <c r="A522" s="44"/>
      <c r="B522" s="37"/>
      <c r="C522" s="35"/>
      <c r="D522" s="35"/>
      <c r="E522" s="35" t="s">
        <v>1415</v>
      </c>
      <c r="F522" s="36">
        <v>10</v>
      </c>
      <c r="G522" s="35" t="s">
        <v>1416</v>
      </c>
      <c r="H522" s="35" t="s">
        <v>1384</v>
      </c>
    </row>
    <row r="523" spans="1:8" ht="23.1" thickBot="1" x14ac:dyDescent="0.6">
      <c r="A523" s="44"/>
      <c r="B523" s="37"/>
      <c r="C523" s="35"/>
      <c r="D523" s="35"/>
      <c r="E523" s="35" t="s">
        <v>1418</v>
      </c>
      <c r="F523" s="36">
        <v>999</v>
      </c>
      <c r="G523" s="35" t="s">
        <v>135</v>
      </c>
      <c r="H523" s="35" t="s">
        <v>1384</v>
      </c>
    </row>
    <row r="524" spans="1:8" ht="14.7" thickBot="1" x14ac:dyDescent="0.6">
      <c r="A524" s="44" t="s">
        <v>7363</v>
      </c>
      <c r="B524" s="37" t="s">
        <v>1420</v>
      </c>
      <c r="C524" s="35" t="s">
        <v>6766</v>
      </c>
      <c r="D524" s="35" t="s">
        <v>7364</v>
      </c>
      <c r="E524" s="35" t="s">
        <v>1422</v>
      </c>
      <c r="F524" s="36">
        <v>0</v>
      </c>
      <c r="G524" s="35" t="s">
        <v>1423</v>
      </c>
      <c r="H524" s="35" t="s">
        <v>1421</v>
      </c>
    </row>
    <row r="525" spans="1:8" ht="14.7" thickBot="1" x14ac:dyDescent="0.6">
      <c r="A525" s="44"/>
      <c r="B525" s="37"/>
      <c r="C525" s="35" t="s">
        <v>6767</v>
      </c>
      <c r="D525" s="35" t="s">
        <v>7365</v>
      </c>
      <c r="E525" s="35" t="s">
        <v>1422</v>
      </c>
      <c r="F525" s="36">
        <v>0</v>
      </c>
      <c r="G525" s="35" t="s">
        <v>1423</v>
      </c>
      <c r="H525" s="35" t="s">
        <v>1421</v>
      </c>
    </row>
    <row r="526" spans="1:8" ht="14.7" thickBot="1" x14ac:dyDescent="0.6">
      <c r="A526" s="44"/>
      <c r="B526" s="37"/>
      <c r="C526" s="35"/>
      <c r="D526" s="35"/>
      <c r="E526" s="35" t="s">
        <v>1425</v>
      </c>
      <c r="F526" s="36">
        <v>1</v>
      </c>
      <c r="G526" s="35" t="s">
        <v>1426</v>
      </c>
      <c r="H526" s="35" t="s">
        <v>1421</v>
      </c>
    </row>
    <row r="527" spans="1:8" ht="14.7" thickBot="1" x14ac:dyDescent="0.6">
      <c r="A527" s="44"/>
      <c r="B527" s="37"/>
      <c r="C527" s="35"/>
      <c r="D527" s="35"/>
      <c r="E527" s="35" t="s">
        <v>1428</v>
      </c>
      <c r="F527" s="36">
        <v>2</v>
      </c>
      <c r="G527" s="35" t="s">
        <v>1429</v>
      </c>
      <c r="H527" s="35" t="s">
        <v>1421</v>
      </c>
    </row>
    <row r="528" spans="1:8" ht="14.7" thickBot="1" x14ac:dyDescent="0.6">
      <c r="A528" s="44"/>
      <c r="B528" s="37"/>
      <c r="C528" s="35"/>
      <c r="D528" s="35"/>
      <c r="E528" s="35" t="s">
        <v>1431</v>
      </c>
      <c r="F528" s="36">
        <v>3</v>
      </c>
      <c r="G528" s="35" t="s">
        <v>1432</v>
      </c>
      <c r="H528" s="35" t="s">
        <v>1421</v>
      </c>
    </row>
    <row r="529" spans="1:8" ht="14.7" thickBot="1" x14ac:dyDescent="0.6">
      <c r="A529" s="44"/>
      <c r="B529" s="37"/>
      <c r="C529" s="35"/>
      <c r="D529" s="35"/>
      <c r="E529" s="35" t="s">
        <v>1434</v>
      </c>
      <c r="F529" s="36">
        <v>4</v>
      </c>
      <c r="G529" s="35" t="s">
        <v>1435</v>
      </c>
      <c r="H529" s="35" t="s">
        <v>1421</v>
      </c>
    </row>
    <row r="530" spans="1:8" ht="14.7" thickBot="1" x14ac:dyDescent="0.6">
      <c r="A530" s="44"/>
      <c r="B530" s="37"/>
      <c r="C530" s="35"/>
      <c r="D530" s="35"/>
      <c r="E530" s="35" t="s">
        <v>1437</v>
      </c>
      <c r="F530" s="36">
        <v>5</v>
      </c>
      <c r="G530" s="35" t="s">
        <v>1438</v>
      </c>
      <c r="H530" s="35" t="s">
        <v>1421</v>
      </c>
    </row>
    <row r="531" spans="1:8" ht="14.7" thickBot="1" x14ac:dyDescent="0.6">
      <c r="A531" s="44"/>
      <c r="B531" s="37"/>
      <c r="C531" s="35"/>
      <c r="D531" s="35"/>
      <c r="E531" s="35" t="s">
        <v>1440</v>
      </c>
      <c r="F531" s="36">
        <v>6</v>
      </c>
      <c r="G531" s="35" t="s">
        <v>1441</v>
      </c>
      <c r="H531" s="35" t="s">
        <v>1421</v>
      </c>
    </row>
    <row r="532" spans="1:8" ht="14.7" thickBot="1" x14ac:dyDescent="0.6">
      <c r="A532" s="44"/>
      <c r="B532" s="37"/>
      <c r="C532" s="35"/>
      <c r="D532" s="35"/>
      <c r="E532" s="35" t="s">
        <v>1443</v>
      </c>
      <c r="F532" s="36">
        <v>7</v>
      </c>
      <c r="G532" s="35" t="s">
        <v>1444</v>
      </c>
      <c r="H532" s="35" t="s">
        <v>1421</v>
      </c>
    </row>
    <row r="533" spans="1:8" ht="14.7" thickBot="1" x14ac:dyDescent="0.6">
      <c r="A533" s="44"/>
      <c r="B533" s="37"/>
      <c r="C533" s="35"/>
      <c r="D533" s="35"/>
      <c r="E533" s="35" t="s">
        <v>1446</v>
      </c>
      <c r="F533" s="36">
        <v>8</v>
      </c>
      <c r="G533" s="35" t="s">
        <v>1447</v>
      </c>
      <c r="H533" s="35" t="s">
        <v>1421</v>
      </c>
    </row>
    <row r="534" spans="1:8" ht="14.7" thickBot="1" x14ac:dyDescent="0.6">
      <c r="A534" s="44"/>
      <c r="B534" s="37"/>
      <c r="C534" s="35"/>
      <c r="D534" s="35"/>
      <c r="E534" s="35" t="s">
        <v>1449</v>
      </c>
      <c r="F534" s="36">
        <v>9</v>
      </c>
      <c r="G534" s="35" t="s">
        <v>1450</v>
      </c>
      <c r="H534" s="35" t="s">
        <v>1421</v>
      </c>
    </row>
    <row r="535" spans="1:8" ht="14.7" thickBot="1" x14ac:dyDescent="0.6">
      <c r="A535" s="44"/>
      <c r="B535" s="37"/>
      <c r="C535" s="35"/>
      <c r="D535" s="35"/>
      <c r="E535" s="35" t="s">
        <v>1452</v>
      </c>
      <c r="F535" s="36">
        <v>10</v>
      </c>
      <c r="G535" s="35" t="s">
        <v>1453</v>
      </c>
      <c r="H535" s="35" t="s">
        <v>1421</v>
      </c>
    </row>
    <row r="536" spans="1:8" ht="14.7" thickBot="1" x14ac:dyDescent="0.6">
      <c r="A536" s="44"/>
      <c r="B536" s="37"/>
      <c r="C536" s="35"/>
      <c r="D536" s="35"/>
      <c r="E536" s="35" t="s">
        <v>1455</v>
      </c>
      <c r="F536" s="36">
        <v>11</v>
      </c>
      <c r="G536" s="35" t="s">
        <v>1456</v>
      </c>
      <c r="H536" s="35" t="s">
        <v>1421</v>
      </c>
    </row>
    <row r="537" spans="1:8" ht="14.7" thickBot="1" x14ac:dyDescent="0.6">
      <c r="A537" s="44"/>
      <c r="B537" s="37"/>
      <c r="C537" s="35"/>
      <c r="D537" s="35"/>
      <c r="E537" s="35" t="s">
        <v>1458</v>
      </c>
      <c r="F537" s="36">
        <v>12</v>
      </c>
      <c r="G537" s="35" t="s">
        <v>1459</v>
      </c>
      <c r="H537" s="35" t="s">
        <v>1421</v>
      </c>
    </row>
    <row r="538" spans="1:8" ht="14.7" thickBot="1" x14ac:dyDescent="0.6">
      <c r="A538" s="44"/>
      <c r="B538" s="37"/>
      <c r="C538" s="35"/>
      <c r="D538" s="35"/>
      <c r="E538" s="35" t="s">
        <v>1461</v>
      </c>
      <c r="F538" s="36">
        <v>13</v>
      </c>
      <c r="G538" s="35" t="s">
        <v>1462</v>
      </c>
      <c r="H538" s="35" t="s">
        <v>1421</v>
      </c>
    </row>
    <row r="539" spans="1:8" ht="14.7" thickBot="1" x14ac:dyDescent="0.6">
      <c r="A539" s="44"/>
      <c r="B539" s="37"/>
      <c r="C539" s="35"/>
      <c r="D539" s="35"/>
      <c r="E539" s="35" t="s">
        <v>1464</v>
      </c>
      <c r="F539" s="36">
        <v>14</v>
      </c>
      <c r="G539" s="35" t="s">
        <v>1465</v>
      </c>
      <c r="H539" s="35" t="s">
        <v>1421</v>
      </c>
    </row>
    <row r="540" spans="1:8" ht="14.7" thickBot="1" x14ac:dyDescent="0.6">
      <c r="A540" s="44"/>
      <c r="B540" s="37"/>
      <c r="C540" s="35"/>
      <c r="D540" s="35"/>
      <c r="E540" s="35" t="s">
        <v>1467</v>
      </c>
      <c r="F540" s="36">
        <v>15</v>
      </c>
      <c r="G540" s="35" t="s">
        <v>1468</v>
      </c>
      <c r="H540" s="35" t="s">
        <v>1421</v>
      </c>
    </row>
    <row r="541" spans="1:8" ht="14.7" thickBot="1" x14ac:dyDescent="0.6">
      <c r="A541" s="44"/>
      <c r="B541" s="37"/>
      <c r="C541" s="35"/>
      <c r="D541" s="35"/>
      <c r="E541" s="35" t="s">
        <v>1470</v>
      </c>
      <c r="F541" s="36">
        <v>16</v>
      </c>
      <c r="G541" s="35" t="s">
        <v>1471</v>
      </c>
      <c r="H541" s="35" t="s">
        <v>1421</v>
      </c>
    </row>
    <row r="542" spans="1:8" ht="14.7" thickBot="1" x14ac:dyDescent="0.6">
      <c r="A542" s="44"/>
      <c r="B542" s="37"/>
      <c r="C542" s="35"/>
      <c r="D542" s="35"/>
      <c r="E542" s="35" t="s">
        <v>1473</v>
      </c>
      <c r="F542" s="36">
        <v>17</v>
      </c>
      <c r="G542" s="35" t="s">
        <v>1474</v>
      </c>
      <c r="H542" s="35" t="s">
        <v>1421</v>
      </c>
    </row>
    <row r="543" spans="1:8" ht="14.7" thickBot="1" x14ac:dyDescent="0.6">
      <c r="A543" s="44"/>
      <c r="B543" s="37"/>
      <c r="C543" s="35"/>
      <c r="D543" s="35"/>
      <c r="E543" s="35" t="s">
        <v>1476</v>
      </c>
      <c r="F543" s="36">
        <v>18</v>
      </c>
      <c r="G543" s="35" t="s">
        <v>1477</v>
      </c>
      <c r="H543" s="35" t="s">
        <v>1421</v>
      </c>
    </row>
    <row r="544" spans="1:8" ht="14.7" thickBot="1" x14ac:dyDescent="0.6">
      <c r="A544" s="44"/>
      <c r="B544" s="37"/>
      <c r="C544" s="35"/>
      <c r="D544" s="35"/>
      <c r="E544" s="35" t="s">
        <v>1479</v>
      </c>
      <c r="F544" s="36">
        <v>999</v>
      </c>
      <c r="G544" s="35" t="s">
        <v>135</v>
      </c>
      <c r="H544" s="35" t="s">
        <v>1421</v>
      </c>
    </row>
    <row r="545" spans="1:8" ht="23.1" thickBot="1" x14ac:dyDescent="0.6">
      <c r="A545" s="44"/>
      <c r="B545" s="37"/>
      <c r="C545" s="35"/>
      <c r="D545" s="35"/>
      <c r="E545" s="35" t="s">
        <v>1481</v>
      </c>
      <c r="F545" s="36"/>
      <c r="G545" s="35" t="s">
        <v>1482</v>
      </c>
      <c r="H545" s="35" t="s">
        <v>1483</v>
      </c>
    </row>
    <row r="546" spans="1:8" ht="23.1" thickBot="1" x14ac:dyDescent="0.6">
      <c r="A546" s="44"/>
      <c r="B546" s="37"/>
      <c r="C546" s="35"/>
      <c r="D546" s="35"/>
      <c r="E546" s="35" t="s">
        <v>1484</v>
      </c>
      <c r="F546" s="36">
        <v>0</v>
      </c>
      <c r="G546" s="35" t="s">
        <v>1482</v>
      </c>
      <c r="H546" s="35" t="s">
        <v>1483</v>
      </c>
    </row>
    <row r="547" spans="1:8" ht="23.1" thickBot="1" x14ac:dyDescent="0.6">
      <c r="A547" s="44"/>
      <c r="B547" s="37"/>
      <c r="C547" s="35"/>
      <c r="D547" s="35"/>
      <c r="E547" s="35" t="s">
        <v>1486</v>
      </c>
      <c r="F547" s="36">
        <v>1</v>
      </c>
      <c r="G547" s="35" t="s">
        <v>1487</v>
      </c>
      <c r="H547" s="35" t="s">
        <v>1483</v>
      </c>
    </row>
    <row r="548" spans="1:8" ht="23.1" thickBot="1" x14ac:dyDescent="0.6">
      <c r="A548" s="45"/>
      <c r="B548" s="37" t="s">
        <v>6457</v>
      </c>
      <c r="C548" s="35"/>
      <c r="D548" s="35"/>
      <c r="E548" s="35" t="s">
        <v>1488</v>
      </c>
      <c r="F548" s="36">
        <v>2</v>
      </c>
      <c r="G548" s="35" t="s">
        <v>1489</v>
      </c>
      <c r="H548" s="35" t="s">
        <v>1483</v>
      </c>
    </row>
    <row r="549" spans="1:8" ht="23.1" thickBot="1" x14ac:dyDescent="0.6">
      <c r="A549" s="44" t="s">
        <v>7366</v>
      </c>
      <c r="B549" s="37"/>
      <c r="C549" s="35" t="s">
        <v>6783</v>
      </c>
      <c r="D549" s="35" t="s">
        <v>7367</v>
      </c>
      <c r="E549" s="35"/>
      <c r="F549" s="36"/>
      <c r="G549" s="35"/>
      <c r="H549" s="35"/>
    </row>
    <row r="550" spans="1:8" ht="14.7" thickBot="1" x14ac:dyDescent="0.6">
      <c r="A550" s="44" t="s">
        <v>7368</v>
      </c>
      <c r="B550" s="37" t="s">
        <v>6486</v>
      </c>
      <c r="C550" s="35" t="s">
        <v>6766</v>
      </c>
      <c r="D550" s="35" t="s">
        <v>7369</v>
      </c>
      <c r="E550" s="35" t="s">
        <v>1490</v>
      </c>
      <c r="F550" s="36">
        <v>0</v>
      </c>
      <c r="G550" s="35" t="s">
        <v>1491</v>
      </c>
      <c r="H550" s="35" t="s">
        <v>1493</v>
      </c>
    </row>
    <row r="551" spans="1:8" ht="14.7" thickBot="1" x14ac:dyDescent="0.6">
      <c r="A551" s="44" t="s">
        <v>7370</v>
      </c>
      <c r="B551" s="37" t="s">
        <v>6714</v>
      </c>
      <c r="C551" s="35" t="s">
        <v>6783</v>
      </c>
      <c r="D551" s="35" t="s">
        <v>7371</v>
      </c>
      <c r="E551" s="35" t="s">
        <v>1490</v>
      </c>
      <c r="F551" s="36">
        <v>0</v>
      </c>
      <c r="G551" s="35" t="s">
        <v>1491</v>
      </c>
      <c r="H551" s="35" t="s">
        <v>1493</v>
      </c>
    </row>
    <row r="552" spans="1:8" ht="14.7" thickBot="1" x14ac:dyDescent="0.6">
      <c r="A552" s="44"/>
      <c r="B552" s="37"/>
      <c r="C552" s="35" t="s">
        <v>6766</v>
      </c>
      <c r="D552" s="35" t="s">
        <v>7372</v>
      </c>
      <c r="E552" s="35" t="s">
        <v>1494</v>
      </c>
      <c r="F552" s="36">
        <v>0</v>
      </c>
      <c r="G552" s="35" t="s">
        <v>1495</v>
      </c>
      <c r="H552" s="35" t="s">
        <v>1497</v>
      </c>
    </row>
    <row r="553" spans="1:8" ht="14.7" thickBot="1" x14ac:dyDescent="0.6">
      <c r="A553" s="44"/>
      <c r="B553" s="37"/>
      <c r="C553" s="35" t="s">
        <v>6783</v>
      </c>
      <c r="D553" s="35" t="s">
        <v>7373</v>
      </c>
      <c r="E553" s="35" t="s">
        <v>1494</v>
      </c>
      <c r="F553" s="36">
        <v>0</v>
      </c>
      <c r="G553" s="35" t="s">
        <v>1495</v>
      </c>
      <c r="H553" s="35" t="s">
        <v>1497</v>
      </c>
    </row>
    <row r="554" spans="1:8" ht="14.7" thickBot="1" x14ac:dyDescent="0.6">
      <c r="A554" s="44" t="s">
        <v>7374</v>
      </c>
      <c r="B554" s="37" t="s">
        <v>6701</v>
      </c>
      <c r="C554" s="35" t="s">
        <v>6766</v>
      </c>
      <c r="D554" s="35" t="s">
        <v>7375</v>
      </c>
      <c r="E554" s="35" t="s">
        <v>1498</v>
      </c>
      <c r="F554" s="36">
        <v>0</v>
      </c>
      <c r="G554" s="35" t="s">
        <v>1499</v>
      </c>
      <c r="H554" s="35" t="s">
        <v>1501</v>
      </c>
    </row>
    <row r="555" spans="1:8" ht="14.7" thickBot="1" x14ac:dyDescent="0.6">
      <c r="A555" s="44" t="s">
        <v>7376</v>
      </c>
      <c r="B555" s="37" t="s">
        <v>6691</v>
      </c>
      <c r="C555" s="35" t="s">
        <v>6766</v>
      </c>
      <c r="D555" s="35" t="s">
        <v>7377</v>
      </c>
      <c r="E555" s="35"/>
      <c r="F555" s="36"/>
      <c r="G555" s="35"/>
      <c r="H555" s="35"/>
    </row>
    <row r="556" spans="1:8" ht="14.7" thickBot="1" x14ac:dyDescent="0.6">
      <c r="A556" s="44"/>
      <c r="B556" s="37"/>
      <c r="C556" s="35" t="s">
        <v>6767</v>
      </c>
      <c r="D556" s="35" t="s">
        <v>7378</v>
      </c>
      <c r="E556" s="35"/>
      <c r="F556" s="36"/>
      <c r="G556" s="35"/>
      <c r="H556" s="35"/>
    </row>
    <row r="557" spans="1:8" ht="14.7" thickBot="1" x14ac:dyDescent="0.6">
      <c r="A557" s="44" t="s">
        <v>7379</v>
      </c>
      <c r="B557" s="37" t="s">
        <v>6689</v>
      </c>
      <c r="C557" s="35" t="s">
        <v>6783</v>
      </c>
      <c r="D557" s="35" t="s">
        <v>7380</v>
      </c>
      <c r="E557" s="35"/>
      <c r="F557" s="36"/>
      <c r="G557" s="35"/>
      <c r="H557" s="35"/>
    </row>
    <row r="558" spans="1:8" ht="14.7" thickBot="1" x14ac:dyDescent="0.6">
      <c r="A558" s="44"/>
      <c r="B558" s="37"/>
      <c r="C558" s="35" t="s">
        <v>6767</v>
      </c>
      <c r="D558" s="35" t="s">
        <v>7381</v>
      </c>
      <c r="E558" s="35"/>
      <c r="F558" s="36"/>
      <c r="G558" s="35"/>
      <c r="H558" s="35"/>
    </row>
    <row r="559" spans="1:8" ht="14.7" thickBot="1" x14ac:dyDescent="0.6">
      <c r="A559" s="44"/>
      <c r="B559" s="37"/>
      <c r="C559" s="35"/>
      <c r="D559" s="35"/>
      <c r="E559" s="35" t="s">
        <v>1502</v>
      </c>
      <c r="F559" s="36">
        <v>0</v>
      </c>
      <c r="G559" s="35" t="s">
        <v>1503</v>
      </c>
      <c r="H559" s="35" t="s">
        <v>1505</v>
      </c>
    </row>
    <row r="560" spans="1:8" ht="23.1" thickBot="1" x14ac:dyDescent="0.6">
      <c r="A560" s="44"/>
      <c r="B560" s="37"/>
      <c r="C560" s="35"/>
      <c r="D560" s="35"/>
      <c r="E560" s="35" t="s">
        <v>1506</v>
      </c>
      <c r="F560" s="36">
        <v>0</v>
      </c>
      <c r="G560" s="35" t="s">
        <v>1507</v>
      </c>
      <c r="H560" s="35" t="s">
        <v>1509</v>
      </c>
    </row>
    <row r="561" spans="1:8" ht="23.1" thickBot="1" x14ac:dyDescent="0.6">
      <c r="A561" s="44"/>
      <c r="B561" s="37"/>
      <c r="C561" s="35"/>
      <c r="D561" s="35"/>
      <c r="E561" s="35" t="s">
        <v>1510</v>
      </c>
      <c r="F561" s="36">
        <v>0</v>
      </c>
      <c r="G561" s="35" t="s">
        <v>1511</v>
      </c>
      <c r="H561" s="35" t="s">
        <v>1513</v>
      </c>
    </row>
    <row r="562" spans="1:8" ht="23.1" thickBot="1" x14ac:dyDescent="0.6">
      <c r="A562" s="44"/>
      <c r="B562" s="37"/>
      <c r="C562" s="35"/>
      <c r="D562" s="35"/>
      <c r="E562" s="35" t="s">
        <v>1514</v>
      </c>
      <c r="F562" s="36">
        <v>0</v>
      </c>
      <c r="G562" s="35" t="s">
        <v>1515</v>
      </c>
      <c r="H562" s="35" t="s">
        <v>1517</v>
      </c>
    </row>
    <row r="563" spans="1:8" ht="23.1" thickBot="1" x14ac:dyDescent="0.6">
      <c r="A563" s="44"/>
      <c r="B563" s="37"/>
      <c r="C563" s="35"/>
      <c r="D563" s="35"/>
      <c r="E563" s="35" t="s">
        <v>1518</v>
      </c>
      <c r="F563" s="36">
        <v>0</v>
      </c>
      <c r="G563" s="35" t="s">
        <v>1519</v>
      </c>
      <c r="H563" s="35" t="s">
        <v>1521</v>
      </c>
    </row>
    <row r="564" spans="1:8" ht="23.1" thickBot="1" x14ac:dyDescent="0.6">
      <c r="A564" s="44" t="s">
        <v>7382</v>
      </c>
      <c r="B564" s="37" t="s">
        <v>6653</v>
      </c>
      <c r="C564" s="35" t="s">
        <v>6766</v>
      </c>
      <c r="D564" s="35" t="s">
        <v>7383</v>
      </c>
      <c r="E564" s="35" t="s">
        <v>1522</v>
      </c>
      <c r="F564" s="36">
        <v>0</v>
      </c>
      <c r="G564" s="35" t="s">
        <v>1523</v>
      </c>
      <c r="H564" s="35" t="s">
        <v>1525</v>
      </c>
    </row>
    <row r="565" spans="1:8" ht="23.1" thickBot="1" x14ac:dyDescent="0.6">
      <c r="A565" s="44"/>
      <c r="B565" s="37"/>
      <c r="C565" s="35"/>
      <c r="D565" s="35"/>
      <c r="E565" s="35" t="s">
        <v>1526</v>
      </c>
      <c r="F565" s="36">
        <v>0</v>
      </c>
      <c r="G565" s="35" t="s">
        <v>1527</v>
      </c>
      <c r="H565" s="35" t="s">
        <v>1529</v>
      </c>
    </row>
    <row r="566" spans="1:8" ht="23.1" thickBot="1" x14ac:dyDescent="0.6">
      <c r="A566" s="44" t="s">
        <v>7384</v>
      </c>
      <c r="B566" s="37" t="s">
        <v>1530</v>
      </c>
      <c r="C566" s="35" t="s">
        <v>6766</v>
      </c>
      <c r="D566" s="35" t="s">
        <v>7385</v>
      </c>
      <c r="E566" s="35" t="s">
        <v>1532</v>
      </c>
      <c r="F566" s="36">
        <v>0</v>
      </c>
      <c r="G566" s="35" t="s">
        <v>1533</v>
      </c>
      <c r="H566" s="35" t="s">
        <v>1531</v>
      </c>
    </row>
    <row r="567" spans="1:8" ht="23.1" thickBot="1" x14ac:dyDescent="0.6">
      <c r="A567" s="44"/>
      <c r="B567" s="37"/>
      <c r="C567" s="35" t="s">
        <v>6783</v>
      </c>
      <c r="D567" s="35" t="s">
        <v>7386</v>
      </c>
      <c r="E567" s="35" t="s">
        <v>1532</v>
      </c>
      <c r="F567" s="36">
        <v>0</v>
      </c>
      <c r="G567" s="35" t="s">
        <v>1533</v>
      </c>
      <c r="H567" s="35" t="s">
        <v>1531</v>
      </c>
    </row>
    <row r="568" spans="1:8" ht="23.1" thickBot="1" x14ac:dyDescent="0.6">
      <c r="A568" s="44"/>
      <c r="B568" s="37"/>
      <c r="C568" s="35" t="s">
        <v>6767</v>
      </c>
      <c r="D568" s="35" t="s">
        <v>7387</v>
      </c>
      <c r="E568" s="35" t="s">
        <v>1532</v>
      </c>
      <c r="F568" s="36">
        <v>0</v>
      </c>
      <c r="G568" s="35" t="s">
        <v>1533</v>
      </c>
      <c r="H568" s="35" t="s">
        <v>1531</v>
      </c>
    </row>
    <row r="569" spans="1:8" ht="23.1" thickBot="1" x14ac:dyDescent="0.6">
      <c r="A569" s="44"/>
      <c r="B569" s="37"/>
      <c r="C569" s="35"/>
      <c r="D569" s="35"/>
      <c r="E569" s="35" t="s">
        <v>1535</v>
      </c>
      <c r="F569" s="36">
        <v>1</v>
      </c>
      <c r="G569" s="35" t="s">
        <v>1536</v>
      </c>
      <c r="H569" s="35" t="s">
        <v>1531</v>
      </c>
    </row>
    <row r="570" spans="1:8" ht="23.1" thickBot="1" x14ac:dyDescent="0.6">
      <c r="A570" s="44"/>
      <c r="B570" s="37"/>
      <c r="C570" s="35"/>
      <c r="D570" s="35"/>
      <c r="E570" s="35" t="s">
        <v>1538</v>
      </c>
      <c r="F570" s="36">
        <v>2</v>
      </c>
      <c r="G570" s="35" t="s">
        <v>1539</v>
      </c>
      <c r="H570" s="35" t="s">
        <v>1531</v>
      </c>
    </row>
    <row r="571" spans="1:8" ht="23.1" thickBot="1" x14ac:dyDescent="0.6">
      <c r="A571" s="44"/>
      <c r="B571" s="37"/>
      <c r="C571" s="35"/>
      <c r="D571" s="35"/>
      <c r="E571" s="35" t="s">
        <v>1541</v>
      </c>
      <c r="F571" s="36">
        <v>3</v>
      </c>
      <c r="G571" s="35" t="s">
        <v>1542</v>
      </c>
      <c r="H571" s="35" t="s">
        <v>1531</v>
      </c>
    </row>
    <row r="572" spans="1:8" ht="23.1" thickBot="1" x14ac:dyDescent="0.6">
      <c r="A572" s="44"/>
      <c r="B572" s="37"/>
      <c r="C572" s="35"/>
      <c r="D572" s="35"/>
      <c r="E572" s="35" t="s">
        <v>1544</v>
      </c>
      <c r="F572" s="36">
        <v>4</v>
      </c>
      <c r="G572" s="35" t="s">
        <v>1545</v>
      </c>
      <c r="H572" s="35" t="s">
        <v>1531</v>
      </c>
    </row>
    <row r="573" spans="1:8" ht="23.1" thickBot="1" x14ac:dyDescent="0.6">
      <c r="A573" s="44"/>
      <c r="B573" s="37"/>
      <c r="C573" s="35"/>
      <c r="D573" s="35"/>
      <c r="E573" s="35" t="s">
        <v>1547</v>
      </c>
      <c r="F573" s="36">
        <v>5</v>
      </c>
      <c r="G573" s="35" t="s">
        <v>1548</v>
      </c>
      <c r="H573" s="35" t="s">
        <v>1531</v>
      </c>
    </row>
    <row r="574" spans="1:8" ht="23.1" thickBot="1" x14ac:dyDescent="0.6">
      <c r="A574" s="44"/>
      <c r="B574" s="37"/>
      <c r="C574" s="35"/>
      <c r="D574" s="35"/>
      <c r="E574" s="35" t="s">
        <v>1550</v>
      </c>
      <c r="F574" s="36">
        <v>6</v>
      </c>
      <c r="G574" s="35" t="s">
        <v>1551</v>
      </c>
      <c r="H574" s="35" t="s">
        <v>1531</v>
      </c>
    </row>
    <row r="575" spans="1:8" ht="23.1" thickBot="1" x14ac:dyDescent="0.6">
      <c r="A575" s="44"/>
      <c r="B575" s="37"/>
      <c r="C575" s="35"/>
      <c r="D575" s="35"/>
      <c r="E575" s="35" t="s">
        <v>1553</v>
      </c>
      <c r="F575" s="36">
        <v>7</v>
      </c>
      <c r="G575" s="35" t="s">
        <v>1554</v>
      </c>
      <c r="H575" s="35" t="s">
        <v>1531</v>
      </c>
    </row>
    <row r="576" spans="1:8" ht="23.1" thickBot="1" x14ac:dyDescent="0.6">
      <c r="A576" s="44"/>
      <c r="B576" s="37"/>
      <c r="C576" s="35"/>
      <c r="D576" s="35"/>
      <c r="E576" s="35" t="s">
        <v>1556</v>
      </c>
      <c r="F576" s="36">
        <v>8</v>
      </c>
      <c r="G576" s="35" t="s">
        <v>1557</v>
      </c>
      <c r="H576" s="35" t="s">
        <v>1531</v>
      </c>
    </row>
    <row r="577" spans="1:8" ht="23.1" thickBot="1" x14ac:dyDescent="0.6">
      <c r="A577" s="44"/>
      <c r="B577" s="37"/>
      <c r="C577" s="35"/>
      <c r="D577" s="35"/>
      <c r="E577" s="35" t="s">
        <v>1559</v>
      </c>
      <c r="F577" s="36">
        <v>9</v>
      </c>
      <c r="G577" s="35" t="s">
        <v>1560</v>
      </c>
      <c r="H577" s="35" t="s">
        <v>1531</v>
      </c>
    </row>
    <row r="578" spans="1:8" ht="23.1" thickBot="1" x14ac:dyDescent="0.6">
      <c r="A578" s="44"/>
      <c r="B578" s="37"/>
      <c r="C578" s="35"/>
      <c r="D578" s="35"/>
      <c r="E578" s="35" t="s">
        <v>1562</v>
      </c>
      <c r="F578" s="36">
        <v>10</v>
      </c>
      <c r="G578" s="35" t="s">
        <v>1563</v>
      </c>
      <c r="H578" s="35" t="s">
        <v>1531</v>
      </c>
    </row>
    <row r="579" spans="1:8" ht="23.1" thickBot="1" x14ac:dyDescent="0.6">
      <c r="A579" s="44"/>
      <c r="B579" s="37"/>
      <c r="C579" s="35"/>
      <c r="D579" s="35"/>
      <c r="E579" s="35" t="s">
        <v>1565</v>
      </c>
      <c r="F579" s="36">
        <v>11</v>
      </c>
      <c r="G579" s="35" t="s">
        <v>1566</v>
      </c>
      <c r="H579" s="35" t="s">
        <v>1531</v>
      </c>
    </row>
    <row r="580" spans="1:8" ht="23.1" thickBot="1" x14ac:dyDescent="0.6">
      <c r="A580" s="44"/>
      <c r="B580" s="37"/>
      <c r="C580" s="35"/>
      <c r="D580" s="35"/>
      <c r="E580" s="35" t="s">
        <v>1568</v>
      </c>
      <c r="F580" s="36">
        <v>12</v>
      </c>
      <c r="G580" s="35" t="s">
        <v>1569</v>
      </c>
      <c r="H580" s="35" t="s">
        <v>1531</v>
      </c>
    </row>
    <row r="581" spans="1:8" ht="23.1" thickBot="1" x14ac:dyDescent="0.6">
      <c r="A581" s="44"/>
      <c r="B581" s="37"/>
      <c r="C581" s="35"/>
      <c r="D581" s="35"/>
      <c r="E581" s="35" t="s">
        <v>1571</v>
      </c>
      <c r="F581" s="36">
        <v>13</v>
      </c>
      <c r="G581" s="35" t="s">
        <v>1572</v>
      </c>
      <c r="H581" s="35" t="s">
        <v>1531</v>
      </c>
    </row>
    <row r="582" spans="1:8" ht="23.1" thickBot="1" x14ac:dyDescent="0.6">
      <c r="A582" s="44"/>
      <c r="B582" s="37"/>
      <c r="C582" s="35"/>
      <c r="D582" s="35"/>
      <c r="E582" s="35" t="s">
        <v>1574</v>
      </c>
      <c r="F582" s="36">
        <v>14</v>
      </c>
      <c r="G582" s="35" t="s">
        <v>1575</v>
      </c>
      <c r="H582" s="35" t="s">
        <v>1531</v>
      </c>
    </row>
    <row r="583" spans="1:8" ht="23.1" thickBot="1" x14ac:dyDescent="0.6">
      <c r="A583" s="44"/>
      <c r="B583" s="37"/>
      <c r="C583" s="35"/>
      <c r="D583" s="35"/>
      <c r="E583" s="35" t="s">
        <v>1577</v>
      </c>
      <c r="F583" s="36">
        <v>15</v>
      </c>
      <c r="G583" s="35" t="s">
        <v>1578</v>
      </c>
      <c r="H583" s="35" t="s">
        <v>1531</v>
      </c>
    </row>
    <row r="584" spans="1:8" ht="23.1" thickBot="1" x14ac:dyDescent="0.6">
      <c r="A584" s="44"/>
      <c r="B584" s="37"/>
      <c r="C584" s="35"/>
      <c r="D584" s="35"/>
      <c r="E584" s="35" t="s">
        <v>1580</v>
      </c>
      <c r="F584" s="36">
        <v>16</v>
      </c>
      <c r="G584" s="35" t="s">
        <v>1581</v>
      </c>
      <c r="H584" s="35" t="s">
        <v>1531</v>
      </c>
    </row>
    <row r="585" spans="1:8" ht="23.1" thickBot="1" x14ac:dyDescent="0.6">
      <c r="A585" s="44"/>
      <c r="B585" s="37"/>
      <c r="C585" s="35"/>
      <c r="D585" s="35"/>
      <c r="E585" s="35" t="s">
        <v>1583</v>
      </c>
      <c r="F585" s="36">
        <v>17</v>
      </c>
      <c r="G585" s="35" t="s">
        <v>1584</v>
      </c>
      <c r="H585" s="35" t="s">
        <v>1531</v>
      </c>
    </row>
    <row r="586" spans="1:8" ht="23.1" thickBot="1" x14ac:dyDescent="0.6">
      <c r="A586" s="44"/>
      <c r="B586" s="37"/>
      <c r="C586" s="35"/>
      <c r="D586" s="35"/>
      <c r="E586" s="35" t="s">
        <v>1586</v>
      </c>
      <c r="F586" s="36">
        <v>18</v>
      </c>
      <c r="G586" s="35" t="s">
        <v>1587</v>
      </c>
      <c r="H586" s="35" t="s">
        <v>1531</v>
      </c>
    </row>
    <row r="587" spans="1:8" ht="23.1" thickBot="1" x14ac:dyDescent="0.6">
      <c r="A587" s="44"/>
      <c r="B587" s="37"/>
      <c r="C587" s="35"/>
      <c r="D587" s="35"/>
      <c r="E587" s="35" t="s">
        <v>1589</v>
      </c>
      <c r="F587" s="36">
        <v>19</v>
      </c>
      <c r="G587" s="35" t="s">
        <v>1590</v>
      </c>
      <c r="H587" s="35" t="s">
        <v>1531</v>
      </c>
    </row>
    <row r="588" spans="1:8" ht="23.1" thickBot="1" x14ac:dyDescent="0.6">
      <c r="A588" s="44"/>
      <c r="B588" s="37"/>
      <c r="C588" s="35"/>
      <c r="D588" s="35"/>
      <c r="E588" s="35" t="s">
        <v>1592</v>
      </c>
      <c r="F588" s="36">
        <v>20</v>
      </c>
      <c r="G588" s="35" t="s">
        <v>1593</v>
      </c>
      <c r="H588" s="35" t="s">
        <v>1531</v>
      </c>
    </row>
    <row r="589" spans="1:8" ht="23.1" thickBot="1" x14ac:dyDescent="0.6">
      <c r="A589" s="44"/>
      <c r="B589" s="37"/>
      <c r="C589" s="35"/>
      <c r="D589" s="35"/>
      <c r="E589" s="35" t="s">
        <v>1595</v>
      </c>
      <c r="F589" s="36">
        <v>21</v>
      </c>
      <c r="G589" s="35" t="s">
        <v>1596</v>
      </c>
      <c r="H589" s="35" t="s">
        <v>1531</v>
      </c>
    </row>
    <row r="590" spans="1:8" ht="23.1" thickBot="1" x14ac:dyDescent="0.6">
      <c r="A590" s="44"/>
      <c r="B590" s="37"/>
      <c r="C590" s="35"/>
      <c r="D590" s="35"/>
      <c r="E590" s="35" t="s">
        <v>1598</v>
      </c>
      <c r="F590" s="36">
        <v>22</v>
      </c>
      <c r="G590" s="35" t="s">
        <v>1599</v>
      </c>
      <c r="H590" s="35" t="s">
        <v>1531</v>
      </c>
    </row>
    <row r="591" spans="1:8" ht="23.1" thickBot="1" x14ac:dyDescent="0.6">
      <c r="A591" s="44"/>
      <c r="B591" s="37"/>
      <c r="C591" s="35"/>
      <c r="D591" s="35"/>
      <c r="E591" s="35" t="s">
        <v>1601</v>
      </c>
      <c r="F591" s="36">
        <v>23</v>
      </c>
      <c r="G591" s="35" t="s">
        <v>1602</v>
      </c>
      <c r="H591" s="35" t="s">
        <v>1531</v>
      </c>
    </row>
    <row r="592" spans="1:8" ht="23.1" thickBot="1" x14ac:dyDescent="0.6">
      <c r="A592" s="44"/>
      <c r="B592" s="37"/>
      <c r="C592" s="35"/>
      <c r="D592" s="35"/>
      <c r="E592" s="35" t="s">
        <v>1604</v>
      </c>
      <c r="F592" s="36">
        <v>24</v>
      </c>
      <c r="G592" s="35" t="s">
        <v>1605</v>
      </c>
      <c r="H592" s="35" t="s">
        <v>1531</v>
      </c>
    </row>
    <row r="593" spans="1:8" ht="23.1" thickBot="1" x14ac:dyDescent="0.6">
      <c r="A593" s="44"/>
      <c r="B593" s="37"/>
      <c r="C593" s="35"/>
      <c r="D593" s="35"/>
      <c r="E593" s="35" t="s">
        <v>1607</v>
      </c>
      <c r="F593" s="36">
        <v>25</v>
      </c>
      <c r="G593" s="35" t="s">
        <v>1608</v>
      </c>
      <c r="H593" s="35" t="s">
        <v>1531</v>
      </c>
    </row>
    <row r="594" spans="1:8" ht="23.1" thickBot="1" x14ac:dyDescent="0.6">
      <c r="A594" s="44"/>
      <c r="B594" s="37"/>
      <c r="C594" s="35"/>
      <c r="D594" s="35"/>
      <c r="E594" s="35" t="s">
        <v>1610</v>
      </c>
      <c r="F594" s="36">
        <v>26</v>
      </c>
      <c r="G594" s="35" t="s">
        <v>1611</v>
      </c>
      <c r="H594" s="35" t="s">
        <v>1531</v>
      </c>
    </row>
    <row r="595" spans="1:8" ht="23.1" thickBot="1" x14ac:dyDescent="0.6">
      <c r="A595" s="44"/>
      <c r="B595" s="37"/>
      <c r="C595" s="35"/>
      <c r="D595" s="35"/>
      <c r="E595" s="35" t="s">
        <v>1613</v>
      </c>
      <c r="F595" s="36">
        <v>27</v>
      </c>
      <c r="G595" s="35" t="s">
        <v>1614</v>
      </c>
      <c r="H595" s="35" t="s">
        <v>1531</v>
      </c>
    </row>
    <row r="596" spans="1:8" ht="23.1" thickBot="1" x14ac:dyDescent="0.6">
      <c r="A596" s="44"/>
      <c r="B596" s="37"/>
      <c r="C596" s="35"/>
      <c r="D596" s="35"/>
      <c r="E596" s="35" t="s">
        <v>1616</v>
      </c>
      <c r="F596" s="36">
        <v>999</v>
      </c>
      <c r="G596" s="35" t="s">
        <v>135</v>
      </c>
      <c r="H596" s="35" t="s">
        <v>1531</v>
      </c>
    </row>
    <row r="597" spans="1:8" ht="23.1" thickBot="1" x14ac:dyDescent="0.6">
      <c r="A597" s="44" t="s">
        <v>7388</v>
      </c>
      <c r="B597" s="37" t="s">
        <v>6385</v>
      </c>
      <c r="C597" s="35" t="s">
        <v>6766</v>
      </c>
      <c r="D597" s="35" t="s">
        <v>7389</v>
      </c>
      <c r="E597" s="35" t="s">
        <v>1618</v>
      </c>
      <c r="F597" s="36">
        <v>0</v>
      </c>
      <c r="G597" s="35" t="s">
        <v>1619</v>
      </c>
      <c r="H597" s="35" t="s">
        <v>1621</v>
      </c>
    </row>
    <row r="598" spans="1:8" ht="23.1" thickBot="1" x14ac:dyDescent="0.6">
      <c r="A598" s="44" t="s">
        <v>7390</v>
      </c>
      <c r="B598" s="37" t="s">
        <v>6386</v>
      </c>
      <c r="C598" s="35" t="s">
        <v>6783</v>
      </c>
      <c r="D598" s="35" t="s">
        <v>7391</v>
      </c>
      <c r="E598" s="35" t="s">
        <v>1618</v>
      </c>
      <c r="F598" s="36">
        <v>0</v>
      </c>
      <c r="G598" s="35" t="s">
        <v>1619</v>
      </c>
      <c r="H598" s="35" t="s">
        <v>1621</v>
      </c>
    </row>
    <row r="599" spans="1:8" ht="23.1" thickBot="1" x14ac:dyDescent="0.6">
      <c r="A599" s="44" t="s">
        <v>7392</v>
      </c>
      <c r="B599" s="37" t="s">
        <v>6387</v>
      </c>
      <c r="C599" s="35" t="s">
        <v>6767</v>
      </c>
      <c r="D599" s="35" t="s">
        <v>7393</v>
      </c>
      <c r="E599" s="35" t="s">
        <v>1618</v>
      </c>
      <c r="F599" s="36">
        <v>0</v>
      </c>
      <c r="G599" s="35" t="s">
        <v>1619</v>
      </c>
      <c r="H599" s="35" t="s">
        <v>1621</v>
      </c>
    </row>
    <row r="600" spans="1:8" ht="23.1" thickBot="1" x14ac:dyDescent="0.6">
      <c r="A600" s="44"/>
      <c r="B600" s="37"/>
      <c r="C600" s="35" t="s">
        <v>6766</v>
      </c>
      <c r="D600" s="35" t="s">
        <v>7394</v>
      </c>
      <c r="E600" s="35" t="s">
        <v>1622</v>
      </c>
      <c r="F600" s="36">
        <v>0</v>
      </c>
      <c r="G600" s="35" t="s">
        <v>1623</v>
      </c>
      <c r="H600" s="35" t="s">
        <v>1625</v>
      </c>
    </row>
    <row r="601" spans="1:8" ht="23.1" thickBot="1" x14ac:dyDescent="0.6">
      <c r="A601" s="44"/>
      <c r="B601" s="37"/>
      <c r="C601" s="35" t="s">
        <v>6767</v>
      </c>
      <c r="D601" s="35" t="s">
        <v>7395</v>
      </c>
      <c r="E601" s="35" t="s">
        <v>1622</v>
      </c>
      <c r="F601" s="36">
        <v>0</v>
      </c>
      <c r="G601" s="35" t="s">
        <v>1623</v>
      </c>
      <c r="H601" s="35" t="s">
        <v>1625</v>
      </c>
    </row>
    <row r="602" spans="1:8" ht="23.1" thickBot="1" x14ac:dyDescent="0.6">
      <c r="A602" s="44"/>
      <c r="B602" s="37"/>
      <c r="C602" s="35" t="s">
        <v>6783</v>
      </c>
      <c r="D602" s="35" t="s">
        <v>7396</v>
      </c>
      <c r="E602" s="35" t="s">
        <v>1626</v>
      </c>
      <c r="F602" s="36">
        <v>0</v>
      </c>
      <c r="G602" s="35" t="s">
        <v>1627</v>
      </c>
      <c r="H602" s="35" t="s">
        <v>1629</v>
      </c>
    </row>
    <row r="603" spans="1:8" ht="23.1" thickBot="1" x14ac:dyDescent="0.6">
      <c r="A603" s="44" t="s">
        <v>7397</v>
      </c>
      <c r="B603" s="37" t="s">
        <v>6384</v>
      </c>
      <c r="C603" s="35" t="s">
        <v>6766</v>
      </c>
      <c r="D603" s="35" t="s">
        <v>7398</v>
      </c>
      <c r="E603" s="35" t="s">
        <v>1630</v>
      </c>
      <c r="F603" s="36">
        <v>0</v>
      </c>
      <c r="G603" s="35" t="s">
        <v>1631</v>
      </c>
      <c r="H603" s="35" t="s">
        <v>1633</v>
      </c>
    </row>
    <row r="604" spans="1:8" ht="23.1" thickBot="1" x14ac:dyDescent="0.6">
      <c r="A604" s="44"/>
      <c r="B604" s="37"/>
      <c r="C604" s="35" t="s">
        <v>6783</v>
      </c>
      <c r="D604" s="35" t="s">
        <v>7399</v>
      </c>
      <c r="E604" s="35" t="s">
        <v>1630</v>
      </c>
      <c r="F604" s="36">
        <v>0</v>
      </c>
      <c r="G604" s="35" t="s">
        <v>1631</v>
      </c>
      <c r="H604" s="35" t="s">
        <v>1633</v>
      </c>
    </row>
    <row r="605" spans="1:8" ht="23.1" thickBot="1" x14ac:dyDescent="0.6">
      <c r="A605" s="45"/>
      <c r="B605" s="37" t="s">
        <v>6703</v>
      </c>
      <c r="C605" s="35" t="s">
        <v>6767</v>
      </c>
      <c r="D605" s="35" t="s">
        <v>7400</v>
      </c>
      <c r="E605" s="35" t="s">
        <v>1630</v>
      </c>
      <c r="F605" s="36">
        <v>0</v>
      </c>
      <c r="G605" s="35" t="s">
        <v>1631</v>
      </c>
      <c r="H605" s="35" t="s">
        <v>1633</v>
      </c>
    </row>
    <row r="606" spans="1:8" ht="23.1" thickBot="1" x14ac:dyDescent="0.6">
      <c r="A606" s="44"/>
      <c r="B606" s="37"/>
      <c r="C606" s="35"/>
      <c r="D606" s="35"/>
      <c r="E606" s="35" t="s">
        <v>1634</v>
      </c>
      <c r="F606" s="36">
        <v>0</v>
      </c>
      <c r="G606" s="35" t="s">
        <v>1635</v>
      </c>
      <c r="H606" s="35" t="s">
        <v>1637</v>
      </c>
    </row>
    <row r="607" spans="1:8" ht="23.1" thickBot="1" x14ac:dyDescent="0.6">
      <c r="A607" s="44" t="s">
        <v>7401</v>
      </c>
      <c r="B607" s="37"/>
      <c r="C607" s="35" t="s">
        <v>6766</v>
      </c>
      <c r="D607" s="35" t="s">
        <v>7402</v>
      </c>
      <c r="E607" s="35"/>
      <c r="F607" s="36"/>
      <c r="G607" s="35"/>
      <c r="H607" s="35"/>
    </row>
    <row r="608" spans="1:8" ht="23.1" thickBot="1" x14ac:dyDescent="0.6">
      <c r="A608" s="44"/>
      <c r="B608" s="37"/>
      <c r="C608" s="35" t="s">
        <v>6783</v>
      </c>
      <c r="D608" s="35" t="s">
        <v>7403</v>
      </c>
      <c r="E608" s="35"/>
      <c r="F608" s="36"/>
      <c r="G608" s="35"/>
      <c r="H608" s="35"/>
    </row>
    <row r="609" spans="1:8" ht="23.1" thickBot="1" x14ac:dyDescent="0.6">
      <c r="A609" s="44" t="s">
        <v>7404</v>
      </c>
      <c r="B609" s="37" t="s">
        <v>6417</v>
      </c>
      <c r="C609" s="35" t="s">
        <v>6748</v>
      </c>
      <c r="D609" s="35" t="s">
        <v>7405</v>
      </c>
      <c r="E609" s="35" t="s">
        <v>1638</v>
      </c>
      <c r="F609" s="36">
        <v>0</v>
      </c>
      <c r="G609" s="35" t="s">
        <v>1639</v>
      </c>
      <c r="H609" s="35" t="s">
        <v>1641</v>
      </c>
    </row>
    <row r="610" spans="1:8" ht="23.1" thickBot="1" x14ac:dyDescent="0.6">
      <c r="A610" s="44"/>
      <c r="B610" s="37"/>
      <c r="C610" s="35" t="s">
        <v>6749</v>
      </c>
      <c r="D610" s="35" t="s">
        <v>7406</v>
      </c>
      <c r="E610" s="35" t="s">
        <v>1638</v>
      </c>
      <c r="F610" s="36">
        <v>0</v>
      </c>
      <c r="G610" s="35" t="s">
        <v>1639</v>
      </c>
      <c r="H610" s="35" t="s">
        <v>1641</v>
      </c>
    </row>
    <row r="611" spans="1:8" ht="23.1" thickBot="1" x14ac:dyDescent="0.6">
      <c r="A611" s="44" t="s">
        <v>7407</v>
      </c>
      <c r="B611" s="37" t="s">
        <v>6428</v>
      </c>
      <c r="C611" s="35" t="s">
        <v>6783</v>
      </c>
      <c r="D611" s="35" t="s">
        <v>7408</v>
      </c>
      <c r="E611" s="35" t="s">
        <v>1642</v>
      </c>
      <c r="F611" s="36">
        <v>0</v>
      </c>
      <c r="G611" s="35" t="s">
        <v>1643</v>
      </c>
      <c r="H611" s="35" t="s">
        <v>1645</v>
      </c>
    </row>
    <row r="612" spans="1:8" ht="23.1" thickBot="1" x14ac:dyDescent="0.6">
      <c r="A612" s="44" t="s">
        <v>7409</v>
      </c>
      <c r="B612" s="37" t="s">
        <v>6406</v>
      </c>
      <c r="C612" s="35" t="s">
        <v>6766</v>
      </c>
      <c r="D612" s="35" t="s">
        <v>7410</v>
      </c>
      <c r="E612" s="35" t="s">
        <v>1646</v>
      </c>
      <c r="F612" s="36">
        <v>0</v>
      </c>
      <c r="G612" s="35" t="s">
        <v>1647</v>
      </c>
      <c r="H612" s="35" t="s">
        <v>1649</v>
      </c>
    </row>
    <row r="613" spans="1:8" ht="23.1" thickBot="1" x14ac:dyDescent="0.6">
      <c r="A613" s="44"/>
      <c r="B613" s="37"/>
      <c r="C613" s="35" t="s">
        <v>6767</v>
      </c>
      <c r="D613" s="35" t="s">
        <v>7411</v>
      </c>
      <c r="E613" s="35" t="s">
        <v>1646</v>
      </c>
      <c r="F613" s="36">
        <v>0</v>
      </c>
      <c r="G613" s="35" t="s">
        <v>1647</v>
      </c>
      <c r="H613" s="35" t="s">
        <v>1649</v>
      </c>
    </row>
    <row r="614" spans="1:8" ht="23.1" thickBot="1" x14ac:dyDescent="0.6">
      <c r="A614" s="44"/>
      <c r="B614" s="37"/>
      <c r="C614" s="35"/>
      <c r="D614" s="35"/>
      <c r="E614" s="35" t="s">
        <v>1650</v>
      </c>
      <c r="F614" s="36">
        <v>0</v>
      </c>
      <c r="G614" s="35" t="s">
        <v>1651</v>
      </c>
      <c r="H614" s="35" t="s">
        <v>1653</v>
      </c>
    </row>
    <row r="615" spans="1:8" ht="23.1" thickBot="1" x14ac:dyDescent="0.6">
      <c r="A615" s="44" t="s">
        <v>7412</v>
      </c>
      <c r="B615" s="37" t="s">
        <v>6430</v>
      </c>
      <c r="C615" s="35" t="s">
        <v>6766</v>
      </c>
      <c r="D615" s="35" t="s">
        <v>7413</v>
      </c>
      <c r="E615" s="35" t="s">
        <v>1654</v>
      </c>
      <c r="F615" s="36">
        <v>0</v>
      </c>
      <c r="G615" s="35" t="s">
        <v>1655</v>
      </c>
      <c r="H615" s="35" t="s">
        <v>1657</v>
      </c>
    </row>
    <row r="616" spans="1:8" ht="23.1" thickBot="1" x14ac:dyDescent="0.6">
      <c r="A616" s="44"/>
      <c r="B616" s="37"/>
      <c r="C616" s="35" t="s">
        <v>6783</v>
      </c>
      <c r="D616" s="35" t="s">
        <v>7414</v>
      </c>
      <c r="E616" s="35" t="s">
        <v>1654</v>
      </c>
      <c r="F616" s="36">
        <v>0</v>
      </c>
      <c r="G616" s="35" t="s">
        <v>1655</v>
      </c>
      <c r="H616" s="35" t="s">
        <v>1657</v>
      </c>
    </row>
    <row r="617" spans="1:8" ht="23.1" thickBot="1" x14ac:dyDescent="0.6">
      <c r="A617" s="44" t="s">
        <v>7415</v>
      </c>
      <c r="B617" s="37" t="s">
        <v>6705</v>
      </c>
      <c r="C617" s="35" t="s">
        <v>6783</v>
      </c>
      <c r="D617" s="35" t="s">
        <v>7416</v>
      </c>
      <c r="E617" s="35" t="s">
        <v>1658</v>
      </c>
      <c r="F617" s="36">
        <v>0</v>
      </c>
      <c r="G617" s="35" t="s">
        <v>1659</v>
      </c>
      <c r="H617" s="35" t="s">
        <v>1661</v>
      </c>
    </row>
    <row r="618" spans="1:8" ht="23.1" thickBot="1" x14ac:dyDescent="0.6">
      <c r="A618" s="44"/>
      <c r="B618" s="37"/>
      <c r="C618" s="35" t="s">
        <v>6767</v>
      </c>
      <c r="D618" s="35" t="s">
        <v>7417</v>
      </c>
      <c r="E618" s="35" t="s">
        <v>1658</v>
      </c>
      <c r="F618" s="36">
        <v>0</v>
      </c>
      <c r="G618" s="35" t="s">
        <v>1659</v>
      </c>
      <c r="H618" s="35" t="s">
        <v>1661</v>
      </c>
    </row>
    <row r="619" spans="1:8" ht="23.1" thickBot="1" x14ac:dyDescent="0.6">
      <c r="A619" s="44" t="s">
        <v>7418</v>
      </c>
      <c r="B619" s="37" t="s">
        <v>6465</v>
      </c>
      <c r="C619" s="35" t="s">
        <v>6775</v>
      </c>
      <c r="D619" s="35" t="s">
        <v>7419</v>
      </c>
      <c r="E619" s="35" t="s">
        <v>1662</v>
      </c>
      <c r="F619" s="36">
        <v>0</v>
      </c>
      <c r="G619" s="35" t="s">
        <v>1663</v>
      </c>
      <c r="H619" s="35" t="s">
        <v>1665</v>
      </c>
    </row>
    <row r="620" spans="1:8" ht="23.1" thickBot="1" x14ac:dyDescent="0.6">
      <c r="A620" s="44"/>
      <c r="B620" s="37"/>
      <c r="C620" s="35" t="s">
        <v>6808</v>
      </c>
      <c r="D620" s="35" t="s">
        <v>7420</v>
      </c>
      <c r="E620" s="35" t="s">
        <v>1662</v>
      </c>
      <c r="F620" s="36">
        <v>0</v>
      </c>
      <c r="G620" s="35" t="s">
        <v>1663</v>
      </c>
      <c r="H620" s="35" t="s">
        <v>1665</v>
      </c>
    </row>
    <row r="621" spans="1:8" ht="23.1" thickBot="1" x14ac:dyDescent="0.6">
      <c r="A621" s="44" t="s">
        <v>7421</v>
      </c>
      <c r="B621" s="37" t="s">
        <v>6520</v>
      </c>
      <c r="C621" s="35" t="s">
        <v>6766</v>
      </c>
      <c r="D621" s="35" t="s">
        <v>7422</v>
      </c>
      <c r="E621" s="35" t="s">
        <v>1666</v>
      </c>
      <c r="F621" s="36">
        <v>0</v>
      </c>
      <c r="G621" s="35" t="s">
        <v>1667</v>
      </c>
      <c r="H621" s="35" t="s">
        <v>1669</v>
      </c>
    </row>
    <row r="622" spans="1:8" ht="23.1" thickBot="1" x14ac:dyDescent="0.6">
      <c r="A622" s="44" t="s">
        <v>7423</v>
      </c>
      <c r="B622" s="37" t="s">
        <v>6466</v>
      </c>
      <c r="C622" s="35" t="s">
        <v>6776</v>
      </c>
      <c r="D622" s="35" t="s">
        <v>7424</v>
      </c>
      <c r="E622" s="35" t="s">
        <v>1670</v>
      </c>
      <c r="F622" s="36">
        <v>0</v>
      </c>
      <c r="G622" s="35" t="s">
        <v>1671</v>
      </c>
      <c r="H622" s="35" t="s">
        <v>1673</v>
      </c>
    </row>
    <row r="623" spans="1:8" ht="23.1" thickBot="1" x14ac:dyDescent="0.6">
      <c r="A623" s="44"/>
      <c r="B623" s="37"/>
      <c r="C623" s="35" t="s">
        <v>6809</v>
      </c>
      <c r="D623" s="35" t="s">
        <v>7425</v>
      </c>
      <c r="E623" s="35" t="s">
        <v>1670</v>
      </c>
      <c r="F623" s="36">
        <v>0</v>
      </c>
      <c r="G623" s="35" t="s">
        <v>1671</v>
      </c>
      <c r="H623" s="35" t="s">
        <v>1673</v>
      </c>
    </row>
    <row r="624" spans="1:8" ht="23.1" thickBot="1" x14ac:dyDescent="0.6">
      <c r="A624" s="44"/>
      <c r="B624" s="37"/>
      <c r="C624" s="35"/>
      <c r="D624" s="35"/>
      <c r="E624" s="35" t="s">
        <v>1674</v>
      </c>
      <c r="F624" s="36">
        <v>0</v>
      </c>
      <c r="G624" s="35" t="s">
        <v>1675</v>
      </c>
      <c r="H624" s="35" t="s">
        <v>1677</v>
      </c>
    </row>
    <row r="625" spans="1:8" ht="23.1" thickBot="1" x14ac:dyDescent="0.6">
      <c r="A625" s="44" t="s">
        <v>7426</v>
      </c>
      <c r="B625" s="37" t="s">
        <v>6709</v>
      </c>
      <c r="C625" s="35" t="s">
        <v>6783</v>
      </c>
      <c r="D625" s="35" t="s">
        <v>7427</v>
      </c>
      <c r="E625" s="35" t="s">
        <v>1678</v>
      </c>
      <c r="F625" s="36">
        <v>0</v>
      </c>
      <c r="G625" s="35" t="s">
        <v>1679</v>
      </c>
      <c r="H625" s="35" t="s">
        <v>1681</v>
      </c>
    </row>
    <row r="626" spans="1:8" ht="23.1" thickBot="1" x14ac:dyDescent="0.6">
      <c r="A626" s="44"/>
      <c r="B626" s="37"/>
      <c r="C626" s="35"/>
      <c r="D626" s="35"/>
      <c r="E626" s="35" t="s">
        <v>1682</v>
      </c>
      <c r="F626" s="36">
        <v>0</v>
      </c>
      <c r="G626" s="35" t="s">
        <v>1683</v>
      </c>
      <c r="H626" s="35" t="s">
        <v>1685</v>
      </c>
    </row>
    <row r="627" spans="1:8" ht="23.1" thickBot="1" x14ac:dyDescent="0.6">
      <c r="A627" s="44"/>
      <c r="B627" s="37"/>
      <c r="C627" s="35"/>
      <c r="D627" s="35"/>
      <c r="E627" s="35" t="s">
        <v>1686</v>
      </c>
      <c r="F627" s="36">
        <v>0</v>
      </c>
      <c r="G627" s="35" t="s">
        <v>1687</v>
      </c>
      <c r="H627" s="35" t="s">
        <v>1689</v>
      </c>
    </row>
    <row r="628" spans="1:8" ht="23.1" thickBot="1" x14ac:dyDescent="0.6">
      <c r="A628" s="44" t="s">
        <v>7428</v>
      </c>
      <c r="B628" s="37" t="s">
        <v>6571</v>
      </c>
      <c r="C628" s="35" t="s">
        <v>6748</v>
      </c>
      <c r="D628" s="35" t="s">
        <v>7429</v>
      </c>
      <c r="E628" s="35" t="s">
        <v>1690</v>
      </c>
      <c r="F628" s="36">
        <v>0</v>
      </c>
      <c r="G628" s="35" t="s">
        <v>1691</v>
      </c>
      <c r="H628" s="35" t="s">
        <v>1693</v>
      </c>
    </row>
    <row r="629" spans="1:8" ht="23.1" thickBot="1" x14ac:dyDescent="0.6">
      <c r="A629" s="44" t="s">
        <v>7430</v>
      </c>
      <c r="B629" s="37" t="s">
        <v>6604</v>
      </c>
      <c r="C629" s="35" t="s">
        <v>6776</v>
      </c>
      <c r="D629" s="35" t="s">
        <v>7431</v>
      </c>
      <c r="E629" s="35" t="s">
        <v>1694</v>
      </c>
      <c r="F629" s="36">
        <v>0</v>
      </c>
      <c r="G629" s="35" t="s">
        <v>1695</v>
      </c>
      <c r="H629" s="35" t="s">
        <v>1697</v>
      </c>
    </row>
    <row r="630" spans="1:8" ht="23.1" thickBot="1" x14ac:dyDescent="0.6">
      <c r="A630" s="44" t="s">
        <v>7432</v>
      </c>
      <c r="B630" s="37" t="s">
        <v>6598</v>
      </c>
      <c r="C630" s="35" t="s">
        <v>6788</v>
      </c>
      <c r="D630" s="35" t="s">
        <v>7433</v>
      </c>
      <c r="E630" s="35" t="s">
        <v>1698</v>
      </c>
      <c r="F630" s="36">
        <v>0</v>
      </c>
      <c r="G630" s="35" t="s">
        <v>1699</v>
      </c>
      <c r="H630" s="35" t="s">
        <v>1701</v>
      </c>
    </row>
    <row r="631" spans="1:8" ht="23.1" thickBot="1" x14ac:dyDescent="0.6">
      <c r="A631" s="44" t="s">
        <v>7434</v>
      </c>
      <c r="B631" s="37" t="s">
        <v>6680</v>
      </c>
      <c r="C631" s="35" t="s">
        <v>6745</v>
      </c>
      <c r="D631" s="35" t="s">
        <v>7435</v>
      </c>
      <c r="E631" s="35" t="s">
        <v>1702</v>
      </c>
      <c r="F631" s="36">
        <v>0</v>
      </c>
      <c r="G631" s="35" t="s">
        <v>1703</v>
      </c>
      <c r="H631" s="35" t="s">
        <v>1705</v>
      </c>
    </row>
    <row r="632" spans="1:8" ht="23.1" thickBot="1" x14ac:dyDescent="0.6">
      <c r="A632" s="44" t="s">
        <v>7436</v>
      </c>
      <c r="B632" s="37" t="s">
        <v>6712</v>
      </c>
      <c r="C632" s="35" t="s">
        <v>6745</v>
      </c>
      <c r="D632" s="35" t="s">
        <v>7437</v>
      </c>
      <c r="E632" s="35" t="s">
        <v>1706</v>
      </c>
      <c r="F632" s="36">
        <v>0</v>
      </c>
      <c r="G632" s="35" t="s">
        <v>1707</v>
      </c>
      <c r="H632" s="35" t="s">
        <v>1709</v>
      </c>
    </row>
    <row r="633" spans="1:8" ht="23.1" thickBot="1" x14ac:dyDescent="0.6">
      <c r="A633" s="44" t="s">
        <v>7438</v>
      </c>
      <c r="B633" s="37" t="s">
        <v>6608</v>
      </c>
      <c r="C633" s="35" t="s">
        <v>6745</v>
      </c>
      <c r="D633" s="35" t="s">
        <v>7439</v>
      </c>
      <c r="E633" s="35" t="s">
        <v>1710</v>
      </c>
      <c r="F633" s="36">
        <v>0</v>
      </c>
      <c r="G633" s="35" t="s">
        <v>1711</v>
      </c>
      <c r="H633" s="35" t="s">
        <v>1713</v>
      </c>
    </row>
    <row r="634" spans="1:8" ht="23.1" thickBot="1" x14ac:dyDescent="0.6">
      <c r="A634" s="44" t="s">
        <v>7440</v>
      </c>
      <c r="B634" s="37" t="s">
        <v>6643</v>
      </c>
      <c r="C634" s="35" t="s">
        <v>6746</v>
      </c>
      <c r="D634" s="35" t="s">
        <v>7441</v>
      </c>
      <c r="E634" s="35" t="s">
        <v>1710</v>
      </c>
      <c r="F634" s="36">
        <v>0</v>
      </c>
      <c r="G634" s="35" t="s">
        <v>1711</v>
      </c>
      <c r="H634" s="35" t="s">
        <v>1713</v>
      </c>
    </row>
    <row r="635" spans="1:8" ht="23.1" thickBot="1" x14ac:dyDescent="0.6">
      <c r="A635" s="44"/>
      <c r="B635" s="37"/>
      <c r="C635" s="35" t="s">
        <v>6783</v>
      </c>
      <c r="D635" s="35" t="s">
        <v>7442</v>
      </c>
      <c r="E635" s="35" t="s">
        <v>1714</v>
      </c>
      <c r="F635" s="36">
        <v>0</v>
      </c>
      <c r="G635" s="35" t="s">
        <v>1715</v>
      </c>
      <c r="H635" s="35" t="s">
        <v>1717</v>
      </c>
    </row>
    <row r="636" spans="1:8" ht="23.1" thickBot="1" x14ac:dyDescent="0.6">
      <c r="A636" s="44"/>
      <c r="B636" s="37"/>
      <c r="C636" s="35"/>
      <c r="D636" s="35"/>
      <c r="E636" s="35" t="s">
        <v>1718</v>
      </c>
      <c r="F636" s="36">
        <v>0</v>
      </c>
      <c r="G636" s="35" t="s">
        <v>1719</v>
      </c>
      <c r="H636" s="35" t="s">
        <v>1721</v>
      </c>
    </row>
    <row r="637" spans="1:8" ht="23.1" thickBot="1" x14ac:dyDescent="0.6">
      <c r="A637" s="44" t="s">
        <v>7443</v>
      </c>
      <c r="B637" s="37" t="s">
        <v>6674</v>
      </c>
      <c r="C637" s="35" t="s">
        <v>6766</v>
      </c>
      <c r="D637" s="35" t="s">
        <v>7444</v>
      </c>
      <c r="E637" s="35" t="s">
        <v>1722</v>
      </c>
      <c r="F637" s="36">
        <v>0</v>
      </c>
      <c r="G637" s="35" t="s">
        <v>1723</v>
      </c>
      <c r="H637" s="35" t="s">
        <v>1725</v>
      </c>
    </row>
    <row r="638" spans="1:8" ht="23.1" thickBot="1" x14ac:dyDescent="0.6">
      <c r="A638" s="44" t="s">
        <v>7445</v>
      </c>
      <c r="B638" s="37" t="s">
        <v>6706</v>
      </c>
      <c r="C638" s="35" t="s">
        <v>6783</v>
      </c>
      <c r="D638" s="35" t="s">
        <v>7446</v>
      </c>
      <c r="E638" s="35" t="s">
        <v>1726</v>
      </c>
      <c r="F638" s="36">
        <v>0</v>
      </c>
      <c r="G638" s="35" t="s">
        <v>1727</v>
      </c>
      <c r="H638" s="35" t="s">
        <v>1729</v>
      </c>
    </row>
    <row r="639" spans="1:8" ht="23.1" thickBot="1" x14ac:dyDescent="0.6">
      <c r="A639" s="44"/>
      <c r="B639" s="37"/>
      <c r="C639" s="35" t="s">
        <v>6767</v>
      </c>
      <c r="D639" s="35" t="s">
        <v>7447</v>
      </c>
      <c r="E639" s="35" t="s">
        <v>1726</v>
      </c>
      <c r="F639" s="36">
        <v>0</v>
      </c>
      <c r="G639" s="35" t="s">
        <v>1727</v>
      </c>
      <c r="H639" s="35" t="s">
        <v>1729</v>
      </c>
    </row>
    <row r="640" spans="1:8" ht="23.1" thickBot="1" x14ac:dyDescent="0.6">
      <c r="A640" s="44" t="s">
        <v>7448</v>
      </c>
      <c r="B640" s="37" t="s">
        <v>6708</v>
      </c>
      <c r="C640" s="35" t="s">
        <v>6766</v>
      </c>
      <c r="D640" s="35" t="s">
        <v>7449</v>
      </c>
      <c r="E640" s="35" t="s">
        <v>1730</v>
      </c>
      <c r="F640" s="36">
        <v>0</v>
      </c>
      <c r="G640" s="35" t="s">
        <v>1731</v>
      </c>
      <c r="H640" s="35" t="s">
        <v>1733</v>
      </c>
    </row>
    <row r="641" spans="1:8" ht="23.1" thickBot="1" x14ac:dyDescent="0.6">
      <c r="A641" s="44"/>
      <c r="B641" s="37"/>
      <c r="C641" s="35" t="s">
        <v>6767</v>
      </c>
      <c r="D641" s="35" t="s">
        <v>7450</v>
      </c>
      <c r="E641" s="35" t="s">
        <v>1730</v>
      </c>
      <c r="F641" s="36">
        <v>0</v>
      </c>
      <c r="G641" s="35" t="s">
        <v>1731</v>
      </c>
      <c r="H641" s="35" t="s">
        <v>1733</v>
      </c>
    </row>
    <row r="642" spans="1:8" ht="23.1" thickBot="1" x14ac:dyDescent="0.6">
      <c r="A642" s="44" t="s">
        <v>7451</v>
      </c>
      <c r="B642" s="37" t="s">
        <v>6627</v>
      </c>
      <c r="C642" s="35" t="s">
        <v>6783</v>
      </c>
      <c r="D642" s="35" t="s">
        <v>7452</v>
      </c>
      <c r="E642" s="35" t="s">
        <v>1734</v>
      </c>
      <c r="F642" s="36">
        <v>0</v>
      </c>
      <c r="G642" s="35" t="s">
        <v>1735</v>
      </c>
      <c r="H642" s="35" t="s">
        <v>1737</v>
      </c>
    </row>
    <row r="643" spans="1:8" ht="23.1" thickBot="1" x14ac:dyDescent="0.6">
      <c r="A643" s="44"/>
      <c r="B643" s="37"/>
      <c r="C643" s="35" t="s">
        <v>6767</v>
      </c>
      <c r="D643" s="35" t="s">
        <v>7453</v>
      </c>
      <c r="E643" s="35" t="s">
        <v>1734</v>
      </c>
      <c r="F643" s="36">
        <v>0</v>
      </c>
      <c r="G643" s="35" t="s">
        <v>1735</v>
      </c>
      <c r="H643" s="35" t="s">
        <v>1737</v>
      </c>
    </row>
    <row r="644" spans="1:8" ht="23.1" thickBot="1" x14ac:dyDescent="0.6">
      <c r="A644" s="44" t="s">
        <v>7454</v>
      </c>
      <c r="B644" s="37" t="s">
        <v>6715</v>
      </c>
      <c r="C644" s="35" t="s">
        <v>6767</v>
      </c>
      <c r="D644" s="35" t="s">
        <v>7455</v>
      </c>
      <c r="E644" s="35" t="s">
        <v>1738</v>
      </c>
      <c r="F644" s="36">
        <v>0</v>
      </c>
      <c r="G644" s="35" t="s">
        <v>1739</v>
      </c>
      <c r="H644" s="35" t="s">
        <v>1741</v>
      </c>
    </row>
    <row r="645" spans="1:8" ht="23.1" thickBot="1" x14ac:dyDescent="0.6">
      <c r="A645" s="44" t="s">
        <v>7456</v>
      </c>
      <c r="B645" s="37" t="s">
        <v>6593</v>
      </c>
      <c r="C645" s="35" t="s">
        <v>6783</v>
      </c>
      <c r="D645" s="35" t="s">
        <v>7457</v>
      </c>
      <c r="E645" s="35" t="s">
        <v>1742</v>
      </c>
      <c r="F645" s="36">
        <v>0</v>
      </c>
      <c r="G645" s="35" t="s">
        <v>1743</v>
      </c>
      <c r="H645" s="35" t="s">
        <v>1745</v>
      </c>
    </row>
    <row r="646" spans="1:8" ht="23.1" thickBot="1" x14ac:dyDescent="0.6">
      <c r="A646" s="44"/>
      <c r="B646" s="37"/>
      <c r="C646" s="35" t="s">
        <v>6767</v>
      </c>
      <c r="D646" s="35" t="s">
        <v>7458</v>
      </c>
      <c r="E646" s="35" t="s">
        <v>1742</v>
      </c>
      <c r="F646" s="36">
        <v>0</v>
      </c>
      <c r="G646" s="35" t="s">
        <v>1743</v>
      </c>
      <c r="H646" s="35" t="s">
        <v>1745</v>
      </c>
    </row>
    <row r="647" spans="1:8" ht="23.1" thickBot="1" x14ac:dyDescent="0.6">
      <c r="A647" s="44" t="s">
        <v>7459</v>
      </c>
      <c r="B647" s="37" t="s">
        <v>6672</v>
      </c>
      <c r="C647" s="35" t="s">
        <v>6784</v>
      </c>
      <c r="D647" s="35" t="s">
        <v>7460</v>
      </c>
      <c r="E647" s="35" t="s">
        <v>1746</v>
      </c>
      <c r="F647" s="36">
        <v>0</v>
      </c>
      <c r="G647" s="35" t="s">
        <v>1747</v>
      </c>
      <c r="H647" s="35" t="s">
        <v>1749</v>
      </c>
    </row>
    <row r="648" spans="1:8" ht="23.1" thickBot="1" x14ac:dyDescent="0.6">
      <c r="A648" s="44"/>
      <c r="B648" s="37"/>
      <c r="C648" s="35" t="s">
        <v>6772</v>
      </c>
      <c r="D648" s="35" t="s">
        <v>7461</v>
      </c>
      <c r="E648" s="35" t="s">
        <v>1746</v>
      </c>
      <c r="F648" s="36">
        <v>0</v>
      </c>
      <c r="G648" s="35" t="s">
        <v>1747</v>
      </c>
      <c r="H648" s="35" t="s">
        <v>1749</v>
      </c>
    </row>
    <row r="649" spans="1:8" ht="23.1" thickBot="1" x14ac:dyDescent="0.6">
      <c r="A649" s="44" t="s">
        <v>7462</v>
      </c>
      <c r="B649" s="37" t="s">
        <v>6366</v>
      </c>
      <c r="C649" s="35" t="s">
        <v>6766</v>
      </c>
      <c r="D649" s="35" t="s">
        <v>7463</v>
      </c>
      <c r="E649" s="35" t="s">
        <v>1750</v>
      </c>
      <c r="F649" s="36">
        <v>0</v>
      </c>
      <c r="G649" s="35" t="s">
        <v>1751</v>
      </c>
      <c r="H649" s="35" t="s">
        <v>1753</v>
      </c>
    </row>
    <row r="650" spans="1:8" ht="23.1" thickBot="1" x14ac:dyDescent="0.6">
      <c r="A650" s="44"/>
      <c r="B650" s="37"/>
      <c r="C650" s="35" t="s">
        <v>6767</v>
      </c>
      <c r="D650" s="35" t="s">
        <v>7464</v>
      </c>
      <c r="E650" s="35" t="s">
        <v>1750</v>
      </c>
      <c r="F650" s="36">
        <v>0</v>
      </c>
      <c r="G650" s="35" t="s">
        <v>1751</v>
      </c>
      <c r="H650" s="35" t="s">
        <v>1753</v>
      </c>
    </row>
    <row r="651" spans="1:8" ht="23.1" thickBot="1" x14ac:dyDescent="0.6">
      <c r="A651" s="44"/>
      <c r="B651" s="37"/>
      <c r="C651" s="35"/>
      <c r="D651" s="35"/>
      <c r="E651" s="35" t="s">
        <v>1754</v>
      </c>
      <c r="F651" s="36">
        <v>0</v>
      </c>
      <c r="G651" s="35" t="s">
        <v>1755</v>
      </c>
      <c r="H651" s="35" t="s">
        <v>1757</v>
      </c>
    </row>
    <row r="652" spans="1:8" ht="23.1" thickBot="1" x14ac:dyDescent="0.6">
      <c r="A652" s="44" t="s">
        <v>7465</v>
      </c>
      <c r="B652" s="37" t="s">
        <v>6699</v>
      </c>
      <c r="C652" s="35" t="s">
        <v>6783</v>
      </c>
      <c r="D652" s="35" t="s">
        <v>7466</v>
      </c>
      <c r="E652" s="35" t="s">
        <v>1758</v>
      </c>
      <c r="F652" s="36">
        <v>0</v>
      </c>
      <c r="G652" s="35" t="s">
        <v>1759</v>
      </c>
      <c r="H652" s="35" t="s">
        <v>1761</v>
      </c>
    </row>
    <row r="653" spans="1:8" ht="23.1" thickBot="1" x14ac:dyDescent="0.6">
      <c r="A653" s="44" t="s">
        <v>7467</v>
      </c>
      <c r="B653" s="37" t="s">
        <v>6681</v>
      </c>
      <c r="C653" s="35" t="s">
        <v>6783</v>
      </c>
      <c r="D653" s="35" t="s">
        <v>7468</v>
      </c>
      <c r="E653" s="35" t="s">
        <v>1762</v>
      </c>
      <c r="F653" s="36">
        <v>0</v>
      </c>
      <c r="G653" s="35" t="s">
        <v>1763</v>
      </c>
      <c r="H653" s="35" t="s">
        <v>1765</v>
      </c>
    </row>
    <row r="654" spans="1:8" ht="23.1" thickBot="1" x14ac:dyDescent="0.6">
      <c r="A654" s="44" t="s">
        <v>7469</v>
      </c>
      <c r="B654" s="37" t="s">
        <v>6682</v>
      </c>
      <c r="C654" s="35" t="s">
        <v>6783</v>
      </c>
      <c r="D654" s="35" t="s">
        <v>7470</v>
      </c>
      <c r="E654" s="35" t="s">
        <v>1766</v>
      </c>
      <c r="F654" s="36">
        <v>0</v>
      </c>
      <c r="G654" s="35" t="s">
        <v>1767</v>
      </c>
      <c r="H654" s="35" t="s">
        <v>1769</v>
      </c>
    </row>
    <row r="655" spans="1:8" ht="23.1" thickBot="1" x14ac:dyDescent="0.6">
      <c r="A655" s="44" t="s">
        <v>7471</v>
      </c>
      <c r="B655" s="37" t="s">
        <v>6573</v>
      </c>
      <c r="C655" s="35" t="s">
        <v>6783</v>
      </c>
      <c r="D655" s="35" t="s">
        <v>7472</v>
      </c>
      <c r="E655" s="35" t="s">
        <v>1770</v>
      </c>
      <c r="F655" s="36">
        <v>0</v>
      </c>
      <c r="G655" s="35" t="s">
        <v>1771</v>
      </c>
      <c r="H655" s="35" t="s">
        <v>1773</v>
      </c>
    </row>
    <row r="656" spans="1:8" ht="23.1" thickBot="1" x14ac:dyDescent="0.6">
      <c r="A656" s="44"/>
      <c r="B656" s="37"/>
      <c r="C656" s="35" t="s">
        <v>6767</v>
      </c>
      <c r="D656" s="35" t="s">
        <v>7473</v>
      </c>
      <c r="E656" s="35" t="s">
        <v>1770</v>
      </c>
      <c r="F656" s="36">
        <v>0</v>
      </c>
      <c r="G656" s="35" t="s">
        <v>1771</v>
      </c>
      <c r="H656" s="35" t="s">
        <v>1773</v>
      </c>
    </row>
    <row r="657" spans="1:8" ht="23.1" thickBot="1" x14ac:dyDescent="0.6">
      <c r="A657" s="44"/>
      <c r="B657" s="37"/>
      <c r="C657" s="35"/>
      <c r="D657" s="35"/>
      <c r="E657" s="35" t="s">
        <v>1774</v>
      </c>
      <c r="F657" s="36">
        <v>0</v>
      </c>
      <c r="G657" s="35" t="s">
        <v>1775</v>
      </c>
      <c r="H657" s="35" t="s">
        <v>1777</v>
      </c>
    </row>
    <row r="658" spans="1:8" ht="23.1" thickBot="1" x14ac:dyDescent="0.6">
      <c r="A658" s="44"/>
      <c r="B658" s="37"/>
      <c r="C658" s="35"/>
      <c r="D658" s="35"/>
      <c r="E658" s="35" t="s">
        <v>1778</v>
      </c>
      <c r="F658" s="36">
        <v>0</v>
      </c>
      <c r="G658" s="35" t="s">
        <v>1779</v>
      </c>
      <c r="H658" s="35" t="s">
        <v>1781</v>
      </c>
    </row>
    <row r="659" spans="1:8" ht="23.1" thickBot="1" x14ac:dyDescent="0.6">
      <c r="A659" s="44"/>
      <c r="B659" s="37"/>
      <c r="C659" s="35"/>
      <c r="D659" s="35"/>
      <c r="E659" s="35" t="s">
        <v>1782</v>
      </c>
      <c r="F659" s="36">
        <v>0</v>
      </c>
      <c r="G659" s="35" t="s">
        <v>1783</v>
      </c>
      <c r="H659" s="35" t="s">
        <v>1785</v>
      </c>
    </row>
    <row r="660" spans="1:8" ht="23.1" thickBot="1" x14ac:dyDescent="0.6">
      <c r="A660" s="44" t="s">
        <v>7474</v>
      </c>
      <c r="B660" s="37" t="s">
        <v>6393</v>
      </c>
      <c r="C660" s="35" t="s">
        <v>6788</v>
      </c>
      <c r="D660" s="35" t="s">
        <v>7475</v>
      </c>
      <c r="E660" s="35" t="s">
        <v>1786</v>
      </c>
      <c r="F660" s="36">
        <v>0</v>
      </c>
      <c r="G660" s="35" t="s">
        <v>1787</v>
      </c>
      <c r="H660" s="35" t="s">
        <v>1789</v>
      </c>
    </row>
    <row r="661" spans="1:8" ht="23.1" thickBot="1" x14ac:dyDescent="0.6">
      <c r="A661" s="44"/>
      <c r="B661" s="37"/>
      <c r="C661" s="35"/>
      <c r="D661" s="35"/>
      <c r="E661" s="35" t="s">
        <v>1790</v>
      </c>
      <c r="F661" s="36">
        <v>0</v>
      </c>
      <c r="G661" s="35" t="s">
        <v>1791</v>
      </c>
      <c r="H661" s="35" t="s">
        <v>1793</v>
      </c>
    </row>
    <row r="662" spans="1:8" ht="23.1" thickBot="1" x14ac:dyDescent="0.6">
      <c r="A662" s="44" t="s">
        <v>7476</v>
      </c>
      <c r="B662" s="37" t="s">
        <v>6442</v>
      </c>
      <c r="C662" s="35" t="s">
        <v>6745</v>
      </c>
      <c r="D662" s="35" t="s">
        <v>7477</v>
      </c>
      <c r="E662" s="35" t="s">
        <v>1794</v>
      </c>
      <c r="F662" s="36">
        <v>0</v>
      </c>
      <c r="G662" s="35" t="s">
        <v>1795</v>
      </c>
      <c r="H662" s="35" t="s">
        <v>1797</v>
      </c>
    </row>
    <row r="663" spans="1:8" ht="23.1" thickBot="1" x14ac:dyDescent="0.6">
      <c r="A663" s="44" t="s">
        <v>7478</v>
      </c>
      <c r="B663" s="37" t="s">
        <v>6350</v>
      </c>
      <c r="C663" s="35" t="s">
        <v>6745</v>
      </c>
      <c r="D663" s="35" t="s">
        <v>7479</v>
      </c>
      <c r="E663" s="35" t="s">
        <v>1798</v>
      </c>
      <c r="F663" s="36">
        <v>0</v>
      </c>
      <c r="G663" s="35" t="s">
        <v>1799</v>
      </c>
      <c r="H663" s="35" t="s">
        <v>1801</v>
      </c>
    </row>
    <row r="664" spans="1:8" ht="23.1" thickBot="1" x14ac:dyDescent="0.6">
      <c r="A664" s="44" t="s">
        <v>7480</v>
      </c>
      <c r="B664" s="37" t="s">
        <v>6349</v>
      </c>
      <c r="C664" s="35" t="s">
        <v>6745</v>
      </c>
      <c r="D664" s="35" t="s">
        <v>7481</v>
      </c>
      <c r="E664" s="35" t="s">
        <v>1802</v>
      </c>
      <c r="F664" s="36">
        <v>0</v>
      </c>
      <c r="G664" s="35" t="s">
        <v>1803</v>
      </c>
      <c r="H664" s="35" t="s">
        <v>1805</v>
      </c>
    </row>
    <row r="665" spans="1:8" ht="23.1" thickBot="1" x14ac:dyDescent="0.6">
      <c r="A665" s="44"/>
      <c r="B665" s="37"/>
      <c r="C665" s="35" t="s">
        <v>6746</v>
      </c>
      <c r="D665" s="35" t="s">
        <v>7482</v>
      </c>
      <c r="E665" s="35" t="s">
        <v>1802</v>
      </c>
      <c r="F665" s="36">
        <v>0</v>
      </c>
      <c r="G665" s="35" t="s">
        <v>1803</v>
      </c>
      <c r="H665" s="35" t="s">
        <v>1805</v>
      </c>
    </row>
    <row r="666" spans="1:8" ht="23.1" thickBot="1" x14ac:dyDescent="0.6">
      <c r="A666" s="44"/>
      <c r="B666" s="37"/>
      <c r="C666" s="35"/>
      <c r="D666" s="35"/>
      <c r="E666" s="35" t="s">
        <v>1806</v>
      </c>
      <c r="F666" s="36">
        <v>0</v>
      </c>
      <c r="G666" s="35" t="s">
        <v>1807</v>
      </c>
      <c r="H666" s="35" t="s">
        <v>1809</v>
      </c>
    </row>
    <row r="667" spans="1:8" ht="23.1" thickBot="1" x14ac:dyDescent="0.6">
      <c r="A667" s="44"/>
      <c r="B667" s="37"/>
      <c r="C667" s="35"/>
      <c r="D667" s="35"/>
      <c r="E667" s="35" t="s">
        <v>1810</v>
      </c>
      <c r="F667" s="36">
        <v>0</v>
      </c>
      <c r="G667" s="35" t="s">
        <v>1811</v>
      </c>
      <c r="H667" s="35" t="s">
        <v>1813</v>
      </c>
    </row>
    <row r="668" spans="1:8" ht="23.1" thickBot="1" x14ac:dyDescent="0.6">
      <c r="A668" s="44"/>
      <c r="B668" s="37"/>
      <c r="C668" s="35"/>
      <c r="D668" s="35"/>
      <c r="E668" s="35" t="s">
        <v>1814</v>
      </c>
      <c r="F668" s="36">
        <v>0</v>
      </c>
      <c r="G668" s="35" t="s">
        <v>1815</v>
      </c>
      <c r="H668" s="35" t="s">
        <v>1817</v>
      </c>
    </row>
    <row r="669" spans="1:8" ht="23.1" thickBot="1" x14ac:dyDescent="0.6">
      <c r="A669" s="44" t="s">
        <v>7483</v>
      </c>
      <c r="B669" s="37" t="s">
        <v>6394</v>
      </c>
      <c r="C669" s="35" t="s">
        <v>6766</v>
      </c>
      <c r="D669" s="35" t="s">
        <v>7484</v>
      </c>
      <c r="E669" s="35" t="s">
        <v>1818</v>
      </c>
      <c r="F669" s="36">
        <v>0</v>
      </c>
      <c r="G669" s="35" t="s">
        <v>1819</v>
      </c>
      <c r="H669" s="35" t="s">
        <v>1821</v>
      </c>
    </row>
    <row r="670" spans="1:8" ht="23.1" thickBot="1" x14ac:dyDescent="0.6">
      <c r="A670" s="44" t="s">
        <v>7485</v>
      </c>
      <c r="B670" s="37" t="s">
        <v>6609</v>
      </c>
      <c r="C670" s="35" t="s">
        <v>6745</v>
      </c>
      <c r="D670" s="35" t="s">
        <v>7486</v>
      </c>
      <c r="E670" s="35" t="s">
        <v>1822</v>
      </c>
      <c r="F670" s="36">
        <v>0</v>
      </c>
      <c r="G670" s="35" t="s">
        <v>1823</v>
      </c>
      <c r="H670" s="35" t="s">
        <v>1825</v>
      </c>
    </row>
    <row r="671" spans="1:8" ht="23.1" thickBot="1" x14ac:dyDescent="0.6">
      <c r="A671" s="44" t="s">
        <v>7487</v>
      </c>
      <c r="B671" s="37" t="s">
        <v>6612</v>
      </c>
      <c r="C671" s="35" t="s">
        <v>6806</v>
      </c>
      <c r="D671" s="35" t="s">
        <v>7488</v>
      </c>
      <c r="E671" s="35" t="s">
        <v>1826</v>
      </c>
      <c r="F671" s="36">
        <v>0</v>
      </c>
      <c r="G671" s="35" t="s">
        <v>1827</v>
      </c>
      <c r="H671" s="35" t="s">
        <v>1829</v>
      </c>
    </row>
    <row r="672" spans="1:8" ht="14.7" thickBot="1" x14ac:dyDescent="0.6">
      <c r="A672" s="44"/>
      <c r="B672" s="37"/>
      <c r="C672" s="35" t="s">
        <v>6807</v>
      </c>
      <c r="D672" s="35" t="s">
        <v>7489</v>
      </c>
      <c r="E672" s="35"/>
      <c r="F672" s="36"/>
      <c r="G672" s="35"/>
      <c r="H672" s="35"/>
    </row>
    <row r="673" spans="1:8" ht="23.1" thickBot="1" x14ac:dyDescent="0.6">
      <c r="A673" s="44"/>
      <c r="B673" s="37"/>
      <c r="C673" s="35"/>
      <c r="D673" s="35"/>
      <c r="E673" s="35" t="s">
        <v>1830</v>
      </c>
      <c r="F673" s="36">
        <v>0</v>
      </c>
      <c r="G673" s="35" t="s">
        <v>1831</v>
      </c>
      <c r="H673" s="35" t="s">
        <v>1833</v>
      </c>
    </row>
    <row r="674" spans="1:8" ht="23.1" thickBot="1" x14ac:dyDescent="0.6">
      <c r="A674" s="44"/>
      <c r="B674" s="37"/>
      <c r="C674" s="35"/>
      <c r="D674" s="35"/>
      <c r="E674" s="35" t="s">
        <v>1834</v>
      </c>
      <c r="F674" s="36">
        <v>0</v>
      </c>
      <c r="G674" s="35" t="s">
        <v>1835</v>
      </c>
      <c r="H674" s="35" t="s">
        <v>1837</v>
      </c>
    </row>
    <row r="675" spans="1:8" ht="23.1" thickBot="1" x14ac:dyDescent="0.6">
      <c r="A675" s="44"/>
      <c r="B675" s="37"/>
      <c r="C675" s="35"/>
      <c r="D675" s="35"/>
      <c r="E675" s="35" t="s">
        <v>1838</v>
      </c>
      <c r="F675" s="36">
        <v>0</v>
      </c>
      <c r="G675" s="35" t="s">
        <v>1839</v>
      </c>
      <c r="H675" s="35" t="s">
        <v>1841</v>
      </c>
    </row>
    <row r="676" spans="1:8" ht="23.1" thickBot="1" x14ac:dyDescent="0.6">
      <c r="A676" s="44"/>
      <c r="B676" s="37"/>
      <c r="C676" s="35"/>
      <c r="D676" s="35"/>
      <c r="E676" s="35" t="s">
        <v>1842</v>
      </c>
      <c r="F676" s="36">
        <v>0</v>
      </c>
      <c r="G676" s="35" t="s">
        <v>1843</v>
      </c>
      <c r="H676" s="35" t="s">
        <v>1845</v>
      </c>
    </row>
    <row r="677" spans="1:8" ht="23.1" thickBot="1" x14ac:dyDescent="0.6">
      <c r="A677" s="44"/>
      <c r="B677" s="37"/>
      <c r="C677" s="35"/>
      <c r="D677" s="35"/>
      <c r="E677" s="35" t="s">
        <v>1848</v>
      </c>
      <c r="F677" s="36">
        <v>0</v>
      </c>
      <c r="G677" s="35" t="s">
        <v>1849</v>
      </c>
      <c r="H677" s="35" t="s">
        <v>1851</v>
      </c>
    </row>
    <row r="678" spans="1:8" ht="23.1" thickBot="1" x14ac:dyDescent="0.6">
      <c r="A678" s="44" t="s">
        <v>7490</v>
      </c>
      <c r="B678" s="37" t="s">
        <v>6536</v>
      </c>
      <c r="C678" s="35" t="s">
        <v>6796</v>
      </c>
      <c r="D678" s="35" t="s">
        <v>7491</v>
      </c>
      <c r="E678" s="35" t="s">
        <v>1852</v>
      </c>
      <c r="F678" s="36">
        <v>0</v>
      </c>
      <c r="G678" s="35" t="s">
        <v>1853</v>
      </c>
      <c r="H678" s="35" t="s">
        <v>1855</v>
      </c>
    </row>
    <row r="679" spans="1:8" ht="23.1" thickBot="1" x14ac:dyDescent="0.6">
      <c r="A679" s="44"/>
      <c r="B679" s="37"/>
      <c r="C679" s="35"/>
      <c r="D679" s="35"/>
      <c r="E679" s="35" t="s">
        <v>1856</v>
      </c>
      <c r="F679" s="36">
        <v>0</v>
      </c>
      <c r="G679" s="35" t="s">
        <v>1857</v>
      </c>
      <c r="H679" s="35" t="s">
        <v>1859</v>
      </c>
    </row>
    <row r="680" spans="1:8" ht="23.1" thickBot="1" x14ac:dyDescent="0.6">
      <c r="A680" s="44"/>
      <c r="B680" s="37"/>
      <c r="C680" s="35"/>
      <c r="D680" s="35"/>
      <c r="E680" s="35" t="s">
        <v>1860</v>
      </c>
      <c r="F680" s="36">
        <v>0</v>
      </c>
      <c r="G680" s="35" t="s">
        <v>1861</v>
      </c>
      <c r="H680" s="35" t="s">
        <v>1863</v>
      </c>
    </row>
    <row r="681" spans="1:8" ht="23.1" thickBot="1" x14ac:dyDescent="0.6">
      <c r="A681" s="44"/>
      <c r="B681" s="37"/>
      <c r="C681" s="35"/>
      <c r="D681" s="35"/>
      <c r="E681" s="35" t="s">
        <v>1864</v>
      </c>
      <c r="F681" s="36">
        <v>0</v>
      </c>
      <c r="G681" s="35" t="s">
        <v>1865</v>
      </c>
      <c r="H681" s="35" t="s">
        <v>1867</v>
      </c>
    </row>
    <row r="682" spans="1:8" ht="23.1" thickBot="1" x14ac:dyDescent="0.6">
      <c r="A682" s="44"/>
      <c r="B682" s="37"/>
      <c r="C682" s="35"/>
      <c r="D682" s="35"/>
      <c r="E682" s="35" t="s">
        <v>1868</v>
      </c>
      <c r="F682" s="36">
        <v>0</v>
      </c>
      <c r="G682" s="35" t="s">
        <v>1869</v>
      </c>
      <c r="H682" s="35" t="s">
        <v>1871</v>
      </c>
    </row>
    <row r="683" spans="1:8" ht="23.1" thickBot="1" x14ac:dyDescent="0.6">
      <c r="A683" s="44"/>
      <c r="B683" s="37"/>
      <c r="C683" s="35" t="s">
        <v>6778</v>
      </c>
      <c r="D683" s="35" t="s">
        <v>7492</v>
      </c>
      <c r="E683" s="35" t="s">
        <v>1872</v>
      </c>
      <c r="F683" s="36">
        <v>0</v>
      </c>
      <c r="G683" s="35" t="s">
        <v>1861</v>
      </c>
      <c r="H683" s="35" t="s">
        <v>1874</v>
      </c>
    </row>
    <row r="684" spans="1:8" ht="23.1" thickBot="1" x14ac:dyDescent="0.6">
      <c r="A684" s="44"/>
      <c r="B684" s="37"/>
      <c r="C684" s="35" t="s">
        <v>6777</v>
      </c>
      <c r="D684" s="35" t="s">
        <v>7493</v>
      </c>
      <c r="E684" s="35" t="s">
        <v>1875</v>
      </c>
      <c r="F684" s="36">
        <v>0</v>
      </c>
      <c r="G684" s="35" t="s">
        <v>1876</v>
      </c>
      <c r="H684" s="35" t="s">
        <v>1878</v>
      </c>
    </row>
    <row r="685" spans="1:8" ht="23.1" thickBot="1" x14ac:dyDescent="0.6">
      <c r="A685" s="44"/>
      <c r="B685" s="37"/>
      <c r="C685" s="35"/>
      <c r="D685" s="35"/>
      <c r="E685" s="35" t="s">
        <v>1879</v>
      </c>
      <c r="F685" s="36">
        <v>0</v>
      </c>
      <c r="G685" s="35" t="s">
        <v>1880</v>
      </c>
      <c r="H685" s="35" t="s">
        <v>1882</v>
      </c>
    </row>
    <row r="686" spans="1:8" ht="23.1" thickBot="1" x14ac:dyDescent="0.6">
      <c r="A686" s="44" t="s">
        <v>7494</v>
      </c>
      <c r="B686" s="37" t="s">
        <v>6531</v>
      </c>
      <c r="C686" s="35" t="s">
        <v>6791</v>
      </c>
      <c r="D686" s="35" t="s">
        <v>7495</v>
      </c>
      <c r="E686" s="35" t="s">
        <v>1883</v>
      </c>
      <c r="F686" s="36">
        <v>0</v>
      </c>
      <c r="G686" s="35" t="s">
        <v>1884</v>
      </c>
      <c r="H686" s="35" t="s">
        <v>1886</v>
      </c>
    </row>
    <row r="687" spans="1:8" ht="23.1" thickBot="1" x14ac:dyDescent="0.6">
      <c r="A687" s="44"/>
      <c r="B687" s="37"/>
      <c r="C687" s="35" t="s">
        <v>6770</v>
      </c>
      <c r="D687" s="35" t="s">
        <v>7496</v>
      </c>
      <c r="E687" s="35" t="s">
        <v>1883</v>
      </c>
      <c r="F687" s="36">
        <v>0</v>
      </c>
      <c r="G687" s="35" t="s">
        <v>1884</v>
      </c>
      <c r="H687" s="35" t="s">
        <v>1886</v>
      </c>
    </row>
    <row r="688" spans="1:8" ht="23.1" thickBot="1" x14ac:dyDescent="0.6">
      <c r="A688" s="44" t="s">
        <v>7497</v>
      </c>
      <c r="B688" s="37" t="s">
        <v>6697</v>
      </c>
      <c r="C688" s="35" t="s">
        <v>6764</v>
      </c>
      <c r="D688" s="35" t="s">
        <v>7498</v>
      </c>
      <c r="E688" s="35" t="s">
        <v>1887</v>
      </c>
      <c r="F688" s="36">
        <v>0</v>
      </c>
      <c r="G688" s="35" t="s">
        <v>1274</v>
      </c>
      <c r="H688" s="35" t="s">
        <v>1889</v>
      </c>
    </row>
    <row r="689" spans="1:8" ht="23.1" thickBot="1" x14ac:dyDescent="0.6">
      <c r="A689" s="44"/>
      <c r="B689" s="37"/>
      <c r="C689" s="35" t="s">
        <v>6778</v>
      </c>
      <c r="D689" s="35" t="s">
        <v>7499</v>
      </c>
      <c r="E689" s="35" t="s">
        <v>1890</v>
      </c>
      <c r="F689" s="36">
        <v>0</v>
      </c>
      <c r="G689" s="35" t="s">
        <v>1891</v>
      </c>
      <c r="H689" s="35" t="s">
        <v>1893</v>
      </c>
    </row>
    <row r="690" spans="1:8" ht="14.7" thickBot="1" x14ac:dyDescent="0.6">
      <c r="A690" s="44"/>
      <c r="B690" s="37"/>
      <c r="C690" s="35"/>
      <c r="D690" s="35"/>
      <c r="E690" s="35" t="s">
        <v>1894</v>
      </c>
      <c r="F690" s="36">
        <v>0</v>
      </c>
      <c r="G690" s="35" t="s">
        <v>1895</v>
      </c>
      <c r="H690" s="35" t="s">
        <v>1897</v>
      </c>
    </row>
    <row r="691" spans="1:8" ht="23.1" thickBot="1" x14ac:dyDescent="0.6">
      <c r="A691" s="44"/>
      <c r="B691" s="37"/>
      <c r="C691" s="35"/>
      <c r="D691" s="35"/>
      <c r="E691" s="35" t="s">
        <v>1898</v>
      </c>
      <c r="F691" s="36">
        <v>0</v>
      </c>
      <c r="G691" s="35" t="s">
        <v>1899</v>
      </c>
      <c r="H691" s="35" t="s">
        <v>1901</v>
      </c>
    </row>
    <row r="692" spans="1:8" ht="23.1" thickBot="1" x14ac:dyDescent="0.6">
      <c r="A692" s="44"/>
      <c r="B692" s="37"/>
      <c r="C692" s="35"/>
      <c r="D692" s="35"/>
      <c r="E692" s="35" t="s">
        <v>1902</v>
      </c>
      <c r="F692" s="36">
        <v>0</v>
      </c>
      <c r="G692" s="35" t="s">
        <v>1903</v>
      </c>
      <c r="H692" s="35" t="s">
        <v>1905</v>
      </c>
    </row>
    <row r="693" spans="1:8" ht="23.1" thickBot="1" x14ac:dyDescent="0.6">
      <c r="A693" s="44" t="s">
        <v>7500</v>
      </c>
      <c r="B693" s="37" t="s">
        <v>6501</v>
      </c>
      <c r="C693" s="35" t="s">
        <v>6803</v>
      </c>
      <c r="D693" s="35" t="s">
        <v>7501</v>
      </c>
      <c r="E693" s="35" t="s">
        <v>1907</v>
      </c>
      <c r="F693" s="36">
        <v>0</v>
      </c>
      <c r="G693" s="35" t="s">
        <v>1906</v>
      </c>
      <c r="H693" s="35" t="s">
        <v>1909</v>
      </c>
    </row>
    <row r="694" spans="1:8" ht="23.1" thickBot="1" x14ac:dyDescent="0.6">
      <c r="A694" s="44"/>
      <c r="B694" s="37"/>
      <c r="C694" s="35"/>
      <c r="D694" s="35"/>
      <c r="E694" s="35" t="s">
        <v>1910</v>
      </c>
      <c r="F694" s="36">
        <v>0</v>
      </c>
      <c r="G694" s="35" t="s">
        <v>1911</v>
      </c>
      <c r="H694" s="35" t="s">
        <v>1913</v>
      </c>
    </row>
    <row r="695" spans="1:8" ht="23.1" thickBot="1" x14ac:dyDescent="0.6">
      <c r="A695" s="44"/>
      <c r="B695" s="37"/>
      <c r="C695" s="35"/>
      <c r="D695" s="35"/>
      <c r="E695" s="35" t="s">
        <v>1914</v>
      </c>
      <c r="F695" s="36">
        <v>0</v>
      </c>
      <c r="G695" s="35" t="s">
        <v>1915</v>
      </c>
      <c r="H695" s="35" t="s">
        <v>1917</v>
      </c>
    </row>
    <row r="696" spans="1:8" ht="23.1" thickBot="1" x14ac:dyDescent="0.6">
      <c r="A696" s="44"/>
      <c r="B696" s="37"/>
      <c r="C696" s="35" t="s">
        <v>6761</v>
      </c>
      <c r="D696" s="35" t="s">
        <v>7502</v>
      </c>
      <c r="E696" s="35" t="s">
        <v>1918</v>
      </c>
      <c r="F696" s="36">
        <v>0</v>
      </c>
      <c r="G696" s="35" t="s">
        <v>1919</v>
      </c>
      <c r="H696" s="35" t="s">
        <v>1921</v>
      </c>
    </row>
    <row r="697" spans="1:8" ht="23.1" thickBot="1" x14ac:dyDescent="0.6">
      <c r="A697" s="44" t="s">
        <v>7503</v>
      </c>
      <c r="B697" s="37" t="s">
        <v>6602</v>
      </c>
      <c r="C697" s="35" t="s">
        <v>6829</v>
      </c>
      <c r="D697" s="35" t="s">
        <v>7504</v>
      </c>
      <c r="E697" s="35" t="s">
        <v>1922</v>
      </c>
      <c r="F697" s="36">
        <v>0</v>
      </c>
      <c r="G697" s="35" t="s">
        <v>1923</v>
      </c>
      <c r="H697" s="35" t="s">
        <v>1925</v>
      </c>
    </row>
    <row r="698" spans="1:8" ht="14.7" thickBot="1" x14ac:dyDescent="0.6">
      <c r="A698" s="44"/>
      <c r="B698" s="37"/>
      <c r="C698" s="35" t="s">
        <v>6803</v>
      </c>
      <c r="D698" s="35" t="s">
        <v>7505</v>
      </c>
      <c r="E698" s="35"/>
      <c r="F698" s="36"/>
      <c r="G698" s="35"/>
      <c r="H698" s="35"/>
    </row>
    <row r="699" spans="1:8" ht="23.1" thickBot="1" x14ac:dyDescent="0.6">
      <c r="A699" s="44"/>
      <c r="B699" s="37"/>
      <c r="C699" s="35" t="s">
        <v>6753</v>
      </c>
      <c r="D699" s="35" t="s">
        <v>7506</v>
      </c>
      <c r="E699" s="35" t="s">
        <v>1926</v>
      </c>
      <c r="F699" s="36">
        <v>0</v>
      </c>
      <c r="G699" s="35" t="s">
        <v>1927</v>
      </c>
      <c r="H699" s="35" t="s">
        <v>1929</v>
      </c>
    </row>
    <row r="700" spans="1:8" ht="23.1" thickBot="1" x14ac:dyDescent="0.6">
      <c r="A700" s="44"/>
      <c r="B700" s="37"/>
      <c r="C700" s="35" t="s">
        <v>6754</v>
      </c>
      <c r="D700" s="35" t="s">
        <v>7507</v>
      </c>
      <c r="E700" s="35" t="s">
        <v>1926</v>
      </c>
      <c r="F700" s="36">
        <v>0</v>
      </c>
      <c r="G700" s="35" t="s">
        <v>1927</v>
      </c>
      <c r="H700" s="35" t="s">
        <v>1929</v>
      </c>
    </row>
    <row r="701" spans="1:8" ht="23.1" thickBot="1" x14ac:dyDescent="0.6">
      <c r="A701" s="44"/>
      <c r="B701" s="37"/>
      <c r="C701" s="35"/>
      <c r="D701" s="35"/>
      <c r="E701" s="35" t="s">
        <v>1930</v>
      </c>
      <c r="F701" s="36">
        <v>0</v>
      </c>
      <c r="G701" s="35" t="s">
        <v>1931</v>
      </c>
      <c r="H701" s="35" t="s">
        <v>1933</v>
      </c>
    </row>
    <row r="702" spans="1:8" ht="23.1" thickBot="1" x14ac:dyDescent="0.6">
      <c r="A702" s="44"/>
      <c r="B702" s="37"/>
      <c r="C702" s="35"/>
      <c r="D702" s="35"/>
      <c r="E702" s="35" t="s">
        <v>1934</v>
      </c>
      <c r="F702" s="36">
        <v>0</v>
      </c>
      <c r="G702" s="35" t="s">
        <v>1935</v>
      </c>
      <c r="H702" s="35" t="s">
        <v>1937</v>
      </c>
    </row>
    <row r="703" spans="1:8" ht="23.1" thickBot="1" x14ac:dyDescent="0.6">
      <c r="A703" s="44"/>
      <c r="B703" s="37"/>
      <c r="C703" s="35"/>
      <c r="D703" s="35"/>
      <c r="E703" s="35" t="s">
        <v>1938</v>
      </c>
      <c r="F703" s="36">
        <v>0</v>
      </c>
      <c r="G703" s="35" t="s">
        <v>1939</v>
      </c>
      <c r="H703" s="35" t="s">
        <v>1941</v>
      </c>
    </row>
    <row r="704" spans="1:8" ht="23.1" thickBot="1" x14ac:dyDescent="0.6">
      <c r="A704" s="44"/>
      <c r="B704" s="37"/>
      <c r="C704" s="35" t="s">
        <v>6753</v>
      </c>
      <c r="D704" s="35" t="s">
        <v>7508</v>
      </c>
      <c r="E704" s="35" t="s">
        <v>1942</v>
      </c>
      <c r="F704" s="36">
        <v>0</v>
      </c>
      <c r="G704" s="35" t="s">
        <v>1943</v>
      </c>
      <c r="H704" s="35" t="s">
        <v>1945</v>
      </c>
    </row>
    <row r="705" spans="1:8" ht="23.1" thickBot="1" x14ac:dyDescent="0.6">
      <c r="A705" s="44"/>
      <c r="B705" s="37"/>
      <c r="C705" s="35" t="s">
        <v>6753</v>
      </c>
      <c r="D705" s="35" t="s">
        <v>7509</v>
      </c>
      <c r="E705" s="35" t="s">
        <v>1946</v>
      </c>
      <c r="F705" s="36">
        <v>0</v>
      </c>
      <c r="G705" s="35" t="s">
        <v>1947</v>
      </c>
      <c r="H705" s="35" t="s">
        <v>1949</v>
      </c>
    </row>
    <row r="706" spans="1:8" ht="23.1" thickBot="1" x14ac:dyDescent="0.6">
      <c r="A706" s="44"/>
      <c r="B706" s="37"/>
      <c r="C706" s="35"/>
      <c r="D706" s="35"/>
      <c r="E706" s="35" t="s">
        <v>1950</v>
      </c>
      <c r="F706" s="36">
        <v>0</v>
      </c>
      <c r="G706" s="35" t="s">
        <v>1951</v>
      </c>
      <c r="H706" s="35" t="s">
        <v>1953</v>
      </c>
    </row>
    <row r="707" spans="1:8" ht="23.1" thickBot="1" x14ac:dyDescent="0.6">
      <c r="A707" s="44"/>
      <c r="B707" s="37"/>
      <c r="C707" s="35"/>
      <c r="D707" s="35"/>
      <c r="E707" s="35" t="s">
        <v>1954</v>
      </c>
      <c r="F707" s="36">
        <v>0</v>
      </c>
      <c r="G707" s="35" t="s">
        <v>1955</v>
      </c>
      <c r="H707" s="35" t="s">
        <v>1957</v>
      </c>
    </row>
    <row r="708" spans="1:8" ht="23.1" thickBot="1" x14ac:dyDescent="0.6">
      <c r="A708" s="44"/>
      <c r="B708" s="37"/>
      <c r="C708" s="35"/>
      <c r="D708" s="35"/>
      <c r="E708" s="35" t="s">
        <v>1958</v>
      </c>
      <c r="F708" s="36">
        <v>0</v>
      </c>
      <c r="G708" s="35" t="s">
        <v>1959</v>
      </c>
      <c r="H708" s="35" t="s">
        <v>1961</v>
      </c>
    </row>
    <row r="709" spans="1:8" ht="23.1" thickBot="1" x14ac:dyDescent="0.6">
      <c r="A709" s="44"/>
      <c r="B709" s="37"/>
      <c r="C709" s="35"/>
      <c r="D709" s="35"/>
      <c r="E709" s="35" t="s">
        <v>1962</v>
      </c>
      <c r="F709" s="36">
        <v>0</v>
      </c>
      <c r="G709" s="35" t="s">
        <v>1963</v>
      </c>
      <c r="H709" s="35" t="s">
        <v>1965</v>
      </c>
    </row>
    <row r="710" spans="1:8" ht="23.1" thickBot="1" x14ac:dyDescent="0.6">
      <c r="A710" s="44"/>
      <c r="B710" s="37"/>
      <c r="C710" s="35"/>
      <c r="D710" s="35"/>
      <c r="E710" s="35" t="s">
        <v>1966</v>
      </c>
      <c r="F710" s="36">
        <v>0</v>
      </c>
      <c r="G710" s="35" t="s">
        <v>1967</v>
      </c>
      <c r="H710" s="35" t="s">
        <v>1969</v>
      </c>
    </row>
    <row r="711" spans="1:8" ht="23.1" thickBot="1" x14ac:dyDescent="0.6">
      <c r="A711" s="44"/>
      <c r="B711" s="37"/>
      <c r="C711" s="35"/>
      <c r="D711" s="35"/>
      <c r="E711" s="35" t="s">
        <v>1970</v>
      </c>
      <c r="F711" s="36">
        <v>0</v>
      </c>
      <c r="G711" s="35" t="s">
        <v>1971</v>
      </c>
      <c r="H711" s="35" t="s">
        <v>1973</v>
      </c>
    </row>
    <row r="712" spans="1:8" ht="23.1" thickBot="1" x14ac:dyDescent="0.6">
      <c r="A712" s="44"/>
      <c r="B712" s="37"/>
      <c r="C712" s="35"/>
      <c r="D712" s="35"/>
      <c r="E712" s="35" t="s">
        <v>1974</v>
      </c>
      <c r="F712" s="36">
        <v>0</v>
      </c>
      <c r="G712" s="35" t="s">
        <v>1975</v>
      </c>
      <c r="H712" s="35" t="s">
        <v>1977</v>
      </c>
    </row>
    <row r="713" spans="1:8" ht="23.1" thickBot="1" x14ac:dyDescent="0.6">
      <c r="A713" s="44"/>
      <c r="B713" s="37"/>
      <c r="C713" s="35" t="s">
        <v>6753</v>
      </c>
      <c r="D713" s="35" t="s">
        <v>7510</v>
      </c>
      <c r="E713" s="35" t="s">
        <v>1978</v>
      </c>
      <c r="F713" s="36">
        <v>0</v>
      </c>
      <c r="G713" s="35" t="s">
        <v>1979</v>
      </c>
      <c r="H713" s="35" t="s">
        <v>1981</v>
      </c>
    </row>
    <row r="714" spans="1:8" ht="23.1" thickBot="1" x14ac:dyDescent="0.6">
      <c r="A714" s="44"/>
      <c r="B714" s="37"/>
      <c r="C714" s="35"/>
      <c r="D714" s="35"/>
      <c r="E714" s="35" t="s">
        <v>1982</v>
      </c>
      <c r="F714" s="36">
        <v>0</v>
      </c>
      <c r="G714" s="35" t="s">
        <v>1983</v>
      </c>
      <c r="H714" s="35" t="s">
        <v>1985</v>
      </c>
    </row>
    <row r="715" spans="1:8" ht="23.1" thickBot="1" x14ac:dyDescent="0.6">
      <c r="A715" s="44"/>
      <c r="B715" s="37"/>
      <c r="C715" s="35" t="s">
        <v>6753</v>
      </c>
      <c r="D715" s="35" t="s">
        <v>7511</v>
      </c>
      <c r="E715" s="35" t="s">
        <v>1986</v>
      </c>
      <c r="F715" s="36">
        <v>0</v>
      </c>
      <c r="G715" s="35" t="s">
        <v>1987</v>
      </c>
      <c r="H715" s="35" t="s">
        <v>1989</v>
      </c>
    </row>
    <row r="716" spans="1:8" ht="23.1" thickBot="1" x14ac:dyDescent="0.6">
      <c r="A716" s="44" t="s">
        <v>7512</v>
      </c>
      <c r="B716" s="37" t="s">
        <v>6651</v>
      </c>
      <c r="C716" s="35" t="s">
        <v>6832</v>
      </c>
      <c r="D716" s="35" t="s">
        <v>7513</v>
      </c>
      <c r="E716" s="35" t="s">
        <v>1990</v>
      </c>
      <c r="F716" s="36">
        <v>0</v>
      </c>
      <c r="G716" s="35" t="s">
        <v>1991</v>
      </c>
      <c r="H716" s="35" t="s">
        <v>1993</v>
      </c>
    </row>
    <row r="717" spans="1:8" ht="23.1" thickBot="1" x14ac:dyDescent="0.6">
      <c r="A717" s="44"/>
      <c r="B717" s="37"/>
      <c r="C717" s="35" t="s">
        <v>6803</v>
      </c>
      <c r="D717" s="35" t="s">
        <v>7514</v>
      </c>
      <c r="E717" s="35" t="s">
        <v>1990</v>
      </c>
      <c r="F717" s="36">
        <v>0</v>
      </c>
      <c r="G717" s="35" t="s">
        <v>1991</v>
      </c>
      <c r="H717" s="35" t="s">
        <v>1993</v>
      </c>
    </row>
    <row r="718" spans="1:8" ht="23.1" thickBot="1" x14ac:dyDescent="0.6">
      <c r="A718" s="44" t="s">
        <v>7515</v>
      </c>
      <c r="B718" s="37" t="s">
        <v>6652</v>
      </c>
      <c r="C718" s="35" t="s">
        <v>6832</v>
      </c>
      <c r="D718" s="35" t="s">
        <v>7516</v>
      </c>
      <c r="E718" s="35" t="s">
        <v>1994</v>
      </c>
      <c r="F718" s="36">
        <v>0</v>
      </c>
      <c r="G718" s="35" t="s">
        <v>1995</v>
      </c>
      <c r="H718" s="35" t="s">
        <v>1997</v>
      </c>
    </row>
    <row r="719" spans="1:8" ht="23.1" thickBot="1" x14ac:dyDescent="0.6">
      <c r="A719" s="44"/>
      <c r="B719" s="37"/>
      <c r="C719" s="35" t="s">
        <v>6803</v>
      </c>
      <c r="D719" s="35" t="s">
        <v>7517</v>
      </c>
      <c r="E719" s="35" t="s">
        <v>1994</v>
      </c>
      <c r="F719" s="36">
        <v>0</v>
      </c>
      <c r="G719" s="35" t="s">
        <v>1995</v>
      </c>
      <c r="H719" s="35" t="s">
        <v>1997</v>
      </c>
    </row>
    <row r="720" spans="1:8" ht="23.1" thickBot="1" x14ac:dyDescent="0.6">
      <c r="A720" s="44" t="s">
        <v>7518</v>
      </c>
      <c r="B720" s="37" t="s">
        <v>6452</v>
      </c>
      <c r="C720" s="35" t="s">
        <v>6803</v>
      </c>
      <c r="D720" s="35" t="s">
        <v>7519</v>
      </c>
      <c r="E720" s="35" t="s">
        <v>1998</v>
      </c>
      <c r="F720" s="36">
        <v>0</v>
      </c>
      <c r="G720" s="35" t="s">
        <v>1999</v>
      </c>
      <c r="H720" s="35" t="s">
        <v>2001</v>
      </c>
    </row>
    <row r="721" spans="1:8" ht="23.1" thickBot="1" x14ac:dyDescent="0.6">
      <c r="A721" s="44"/>
      <c r="B721" s="37"/>
      <c r="C721" s="35"/>
      <c r="D721" s="35"/>
      <c r="E721" s="35" t="s">
        <v>2002</v>
      </c>
      <c r="F721" s="36">
        <v>0</v>
      </c>
      <c r="G721" s="35" t="s">
        <v>2003</v>
      </c>
      <c r="H721" s="35" t="s">
        <v>2005</v>
      </c>
    </row>
    <row r="722" spans="1:8" ht="23.1" thickBot="1" x14ac:dyDescent="0.6">
      <c r="A722" s="44"/>
      <c r="B722" s="37"/>
      <c r="C722" s="35"/>
      <c r="D722" s="35"/>
      <c r="E722" s="35" t="s">
        <v>2006</v>
      </c>
      <c r="F722" s="36">
        <v>0</v>
      </c>
      <c r="G722" s="35" t="s">
        <v>2007</v>
      </c>
      <c r="H722" s="35" t="s">
        <v>2009</v>
      </c>
    </row>
    <row r="723" spans="1:8" ht="23.1" thickBot="1" x14ac:dyDescent="0.6">
      <c r="A723" s="44"/>
      <c r="B723" s="37"/>
      <c r="C723" s="35"/>
      <c r="D723" s="35"/>
      <c r="E723" s="35" t="s">
        <v>2010</v>
      </c>
      <c r="F723" s="36">
        <v>0</v>
      </c>
      <c r="G723" s="35" t="s">
        <v>2011</v>
      </c>
      <c r="H723" s="35" t="s">
        <v>2013</v>
      </c>
    </row>
    <row r="724" spans="1:8" ht="23.1" thickBot="1" x14ac:dyDescent="0.6">
      <c r="A724" s="44"/>
      <c r="B724" s="37"/>
      <c r="C724" s="35" t="s">
        <v>6801</v>
      </c>
      <c r="D724" s="35" t="s">
        <v>7520</v>
      </c>
      <c r="E724" s="35" t="s">
        <v>2014</v>
      </c>
      <c r="F724" s="36">
        <v>0</v>
      </c>
      <c r="G724" s="35" t="s">
        <v>2015</v>
      </c>
      <c r="H724" s="35" t="s">
        <v>2017</v>
      </c>
    </row>
    <row r="725" spans="1:8" ht="23.1" thickBot="1" x14ac:dyDescent="0.6">
      <c r="A725" s="44"/>
      <c r="B725" s="37"/>
      <c r="C725" s="35"/>
      <c r="D725" s="35"/>
      <c r="E725" s="35" t="s">
        <v>2018</v>
      </c>
      <c r="F725" s="36">
        <v>0</v>
      </c>
      <c r="G725" s="35" t="s">
        <v>2019</v>
      </c>
      <c r="H725" s="35" t="s">
        <v>2021</v>
      </c>
    </row>
    <row r="726" spans="1:8" ht="23.1" thickBot="1" x14ac:dyDescent="0.6">
      <c r="A726" s="44" t="s">
        <v>7521</v>
      </c>
      <c r="B726" s="37" t="s">
        <v>6471</v>
      </c>
      <c r="C726" s="35" t="s">
        <v>6792</v>
      </c>
      <c r="D726" s="35" t="s">
        <v>7522</v>
      </c>
      <c r="E726" s="35" t="s">
        <v>2022</v>
      </c>
      <c r="F726" s="36">
        <v>0</v>
      </c>
      <c r="G726" s="35" t="s">
        <v>2023</v>
      </c>
      <c r="H726" s="35" t="s">
        <v>2025</v>
      </c>
    </row>
    <row r="727" spans="1:8" ht="14.7" thickBot="1" x14ac:dyDescent="0.6">
      <c r="A727" s="44"/>
      <c r="B727" s="37"/>
      <c r="C727" s="35" t="s">
        <v>6764</v>
      </c>
      <c r="D727" s="35" t="s">
        <v>7523</v>
      </c>
      <c r="E727" s="35"/>
      <c r="F727" s="36"/>
      <c r="G727" s="35"/>
      <c r="H727" s="35"/>
    </row>
    <row r="728" spans="1:8" ht="23.1" thickBot="1" x14ac:dyDescent="0.6">
      <c r="A728" s="44"/>
      <c r="B728" s="37"/>
      <c r="C728" s="35"/>
      <c r="D728" s="35"/>
      <c r="E728" s="35" t="s">
        <v>2026</v>
      </c>
      <c r="F728" s="36">
        <v>0</v>
      </c>
      <c r="G728" s="35" t="s">
        <v>2027</v>
      </c>
      <c r="H728" s="35" t="s">
        <v>2029</v>
      </c>
    </row>
    <row r="729" spans="1:8" ht="23.1" thickBot="1" x14ac:dyDescent="0.6">
      <c r="A729" s="44"/>
      <c r="B729" s="37"/>
      <c r="C729" s="35"/>
      <c r="D729" s="35"/>
      <c r="E729" s="35" t="s">
        <v>2030</v>
      </c>
      <c r="F729" s="36">
        <v>0</v>
      </c>
      <c r="G729" s="35" t="s">
        <v>2031</v>
      </c>
      <c r="H729" s="35" t="s">
        <v>2033</v>
      </c>
    </row>
    <row r="730" spans="1:8" ht="23.1" thickBot="1" x14ac:dyDescent="0.6">
      <c r="A730" s="44"/>
      <c r="B730" s="37"/>
      <c r="C730" s="35" t="s">
        <v>6754</v>
      </c>
      <c r="D730" s="35" t="s">
        <v>7524</v>
      </c>
      <c r="E730" s="35" t="s">
        <v>2034</v>
      </c>
      <c r="F730" s="36">
        <v>0</v>
      </c>
      <c r="G730" s="35" t="s">
        <v>2035</v>
      </c>
      <c r="H730" s="35" t="s">
        <v>2037</v>
      </c>
    </row>
    <row r="731" spans="1:8" ht="23.1" thickBot="1" x14ac:dyDescent="0.6">
      <c r="A731" s="44"/>
      <c r="B731" s="37"/>
      <c r="C731" s="35"/>
      <c r="D731" s="35"/>
      <c r="E731" s="35" t="s">
        <v>2038</v>
      </c>
      <c r="F731" s="36">
        <v>0</v>
      </c>
      <c r="G731" s="35" t="s">
        <v>2039</v>
      </c>
      <c r="H731" s="35" t="s">
        <v>2041</v>
      </c>
    </row>
    <row r="732" spans="1:8" ht="23.1" thickBot="1" x14ac:dyDescent="0.6">
      <c r="A732" s="44"/>
      <c r="B732" s="37"/>
      <c r="C732" s="35"/>
      <c r="D732" s="35"/>
      <c r="E732" s="35" t="s">
        <v>2042</v>
      </c>
      <c r="F732" s="36">
        <v>0</v>
      </c>
      <c r="G732" s="35" t="s">
        <v>2043</v>
      </c>
      <c r="H732" s="35" t="s">
        <v>2045</v>
      </c>
    </row>
    <row r="733" spans="1:8" ht="23.1" thickBot="1" x14ac:dyDescent="0.6">
      <c r="A733" s="44"/>
      <c r="B733" s="37"/>
      <c r="C733" s="35" t="s">
        <v>6758</v>
      </c>
      <c r="D733" s="35" t="s">
        <v>7525</v>
      </c>
      <c r="E733" s="35" t="s">
        <v>2046</v>
      </c>
      <c r="F733" s="36">
        <v>0</v>
      </c>
      <c r="G733" s="35" t="s">
        <v>2047</v>
      </c>
      <c r="H733" s="35" t="s">
        <v>2049</v>
      </c>
    </row>
    <row r="734" spans="1:8" ht="23.1" thickBot="1" x14ac:dyDescent="0.6">
      <c r="A734" s="44"/>
      <c r="B734" s="37"/>
      <c r="C734" s="35" t="s">
        <v>6759</v>
      </c>
      <c r="D734" s="35" t="s">
        <v>7526</v>
      </c>
      <c r="E734" s="35" t="s">
        <v>2046</v>
      </c>
      <c r="F734" s="36">
        <v>0</v>
      </c>
      <c r="G734" s="35" t="s">
        <v>2047</v>
      </c>
      <c r="H734" s="35" t="s">
        <v>2049</v>
      </c>
    </row>
    <row r="735" spans="1:8" ht="23.1" thickBot="1" x14ac:dyDescent="0.6">
      <c r="A735" s="44"/>
      <c r="B735" s="37"/>
      <c r="C735" s="35"/>
      <c r="D735" s="35"/>
      <c r="E735" s="35" t="s">
        <v>2050</v>
      </c>
      <c r="F735" s="36">
        <v>0</v>
      </c>
      <c r="G735" s="35" t="s">
        <v>2051</v>
      </c>
      <c r="H735" s="35" t="s">
        <v>2053</v>
      </c>
    </row>
    <row r="736" spans="1:8" ht="23.1" thickBot="1" x14ac:dyDescent="0.6">
      <c r="A736" s="44"/>
      <c r="B736" s="37"/>
      <c r="C736" s="35" t="s">
        <v>6787</v>
      </c>
      <c r="D736" s="35" t="s">
        <v>7527</v>
      </c>
      <c r="E736" s="35" t="s">
        <v>2054</v>
      </c>
      <c r="F736" s="36">
        <v>0</v>
      </c>
      <c r="G736" s="35" t="s">
        <v>692</v>
      </c>
      <c r="H736" s="35" t="s">
        <v>2056</v>
      </c>
    </row>
    <row r="737" spans="1:8" ht="23.1" thickBot="1" x14ac:dyDescent="0.6">
      <c r="A737" s="44"/>
      <c r="B737" s="37"/>
      <c r="C737" s="35"/>
      <c r="D737" s="35"/>
      <c r="E737" s="35" t="s">
        <v>2057</v>
      </c>
      <c r="F737" s="36">
        <v>0</v>
      </c>
      <c r="G737" s="35" t="s">
        <v>2058</v>
      </c>
      <c r="H737" s="35" t="s">
        <v>2060</v>
      </c>
    </row>
    <row r="738" spans="1:8" ht="23.1" thickBot="1" x14ac:dyDescent="0.6">
      <c r="A738" s="44"/>
      <c r="B738" s="37"/>
      <c r="C738" s="35"/>
      <c r="D738" s="35"/>
      <c r="E738" s="35" t="s">
        <v>2061</v>
      </c>
      <c r="F738" s="36">
        <v>0</v>
      </c>
      <c r="G738" s="35" t="s">
        <v>2062</v>
      </c>
      <c r="H738" s="35" t="s">
        <v>2064</v>
      </c>
    </row>
    <row r="739" spans="1:8" ht="23.1" thickBot="1" x14ac:dyDescent="0.6">
      <c r="A739" s="44"/>
      <c r="B739" s="37"/>
      <c r="C739" s="35"/>
      <c r="D739" s="35"/>
      <c r="E739" s="35" t="s">
        <v>2065</v>
      </c>
      <c r="F739" s="36">
        <v>0</v>
      </c>
      <c r="G739" s="35" t="s">
        <v>2066</v>
      </c>
      <c r="H739" s="35" t="s">
        <v>2068</v>
      </c>
    </row>
    <row r="740" spans="1:8" ht="23.1" thickBot="1" x14ac:dyDescent="0.6">
      <c r="A740" s="44"/>
      <c r="B740" s="37"/>
      <c r="C740" s="35"/>
      <c r="D740" s="35"/>
      <c r="E740" s="35" t="s">
        <v>2069</v>
      </c>
      <c r="F740" s="36">
        <v>0</v>
      </c>
      <c r="G740" s="35" t="s">
        <v>2070</v>
      </c>
      <c r="H740" s="35" t="s">
        <v>2072</v>
      </c>
    </row>
    <row r="741" spans="1:8" ht="23.1" thickBot="1" x14ac:dyDescent="0.6">
      <c r="A741" s="44"/>
      <c r="B741" s="37"/>
      <c r="C741" s="35"/>
      <c r="D741" s="35"/>
      <c r="E741" s="35" t="s">
        <v>2073</v>
      </c>
      <c r="F741" s="36"/>
      <c r="G741" s="35" t="s">
        <v>2074</v>
      </c>
      <c r="H741" s="35" t="s">
        <v>2075</v>
      </c>
    </row>
    <row r="742" spans="1:8" ht="23.1" thickBot="1" x14ac:dyDescent="0.6">
      <c r="A742" s="44"/>
      <c r="B742" s="37"/>
      <c r="C742" s="35"/>
      <c r="D742" s="35"/>
      <c r="E742" s="35" t="s">
        <v>2076</v>
      </c>
      <c r="F742" s="36">
        <v>0</v>
      </c>
      <c r="G742" s="35" t="s">
        <v>2077</v>
      </c>
      <c r="H742" s="35" t="s">
        <v>2075</v>
      </c>
    </row>
    <row r="743" spans="1:8" ht="23.1" thickBot="1" x14ac:dyDescent="0.6">
      <c r="A743" s="44"/>
      <c r="B743" s="37"/>
      <c r="C743" s="35"/>
      <c r="D743" s="35"/>
      <c r="E743" s="35" t="s">
        <v>2079</v>
      </c>
      <c r="F743" s="36">
        <v>1</v>
      </c>
      <c r="G743" s="35" t="s">
        <v>2074</v>
      </c>
      <c r="H743" s="35" t="s">
        <v>2075</v>
      </c>
    </row>
    <row r="744" spans="1:8" ht="23.1" thickBot="1" x14ac:dyDescent="0.6">
      <c r="A744" s="44"/>
      <c r="B744" s="37"/>
      <c r="C744" s="35"/>
      <c r="D744" s="35"/>
      <c r="E744" s="35" t="s">
        <v>2081</v>
      </c>
      <c r="F744" s="36">
        <v>2</v>
      </c>
      <c r="G744" s="35" t="s">
        <v>2082</v>
      </c>
      <c r="H744" s="35" t="s">
        <v>2075</v>
      </c>
    </row>
    <row r="745" spans="1:8" ht="23.1" thickBot="1" x14ac:dyDescent="0.6">
      <c r="A745" s="44"/>
      <c r="B745" s="37"/>
      <c r="C745" s="35"/>
      <c r="D745" s="35"/>
      <c r="E745" s="35" t="s">
        <v>2084</v>
      </c>
      <c r="F745" s="36">
        <v>3</v>
      </c>
      <c r="G745" s="35" t="s">
        <v>2085</v>
      </c>
      <c r="H745" s="35" t="s">
        <v>2075</v>
      </c>
    </row>
    <row r="746" spans="1:8" ht="23.1" thickBot="1" x14ac:dyDescent="0.6">
      <c r="A746" s="44"/>
      <c r="B746" s="37"/>
      <c r="C746" s="35"/>
      <c r="D746" s="35"/>
      <c r="E746" s="35" t="s">
        <v>2087</v>
      </c>
      <c r="F746" s="36">
        <v>999</v>
      </c>
      <c r="G746" s="35" t="s">
        <v>135</v>
      </c>
      <c r="H746" s="35" t="s">
        <v>2075</v>
      </c>
    </row>
    <row r="747" spans="1:8" ht="23.1" thickBot="1" x14ac:dyDescent="0.6">
      <c r="A747" s="44"/>
      <c r="B747" s="37"/>
      <c r="C747" s="35"/>
      <c r="D747" s="35"/>
      <c r="E747" s="35" t="s">
        <v>2089</v>
      </c>
      <c r="F747" s="36">
        <v>0</v>
      </c>
      <c r="G747" s="35" t="s">
        <v>2090</v>
      </c>
      <c r="H747" s="35" t="s">
        <v>2092</v>
      </c>
    </row>
    <row r="748" spans="1:8" ht="23.1" thickBot="1" x14ac:dyDescent="0.6">
      <c r="A748" s="44" t="s">
        <v>7528</v>
      </c>
      <c r="B748" s="37" t="s">
        <v>6475</v>
      </c>
      <c r="C748" s="35" t="s">
        <v>6803</v>
      </c>
      <c r="D748" s="35" t="s">
        <v>7529</v>
      </c>
      <c r="E748" s="35" t="s">
        <v>2093</v>
      </c>
      <c r="F748" s="36">
        <v>0</v>
      </c>
      <c r="G748" s="35" t="s">
        <v>2094</v>
      </c>
      <c r="H748" s="35" t="s">
        <v>2096</v>
      </c>
    </row>
    <row r="749" spans="1:8" ht="23.1" thickBot="1" x14ac:dyDescent="0.6">
      <c r="A749" s="44"/>
      <c r="B749" s="37"/>
      <c r="C749" s="35"/>
      <c r="D749" s="35"/>
      <c r="E749" s="35" t="s">
        <v>2097</v>
      </c>
      <c r="F749" s="36">
        <v>0</v>
      </c>
      <c r="G749" s="35" t="s">
        <v>2098</v>
      </c>
      <c r="H749" s="35" t="s">
        <v>2100</v>
      </c>
    </row>
    <row r="750" spans="1:8" ht="23.1" thickBot="1" x14ac:dyDescent="0.6">
      <c r="A750" s="44" t="s">
        <v>7530</v>
      </c>
      <c r="B750" s="37" t="s">
        <v>6658</v>
      </c>
      <c r="C750" s="35" t="s">
        <v>6829</v>
      </c>
      <c r="D750" s="35" t="s">
        <v>7531</v>
      </c>
      <c r="E750" s="35" t="s">
        <v>2101</v>
      </c>
      <c r="F750" s="36">
        <v>0</v>
      </c>
      <c r="G750" s="35" t="s">
        <v>2102</v>
      </c>
      <c r="H750" s="35" t="s">
        <v>2104</v>
      </c>
    </row>
    <row r="751" spans="1:8" ht="23.1" thickBot="1" x14ac:dyDescent="0.6">
      <c r="A751" s="44"/>
      <c r="B751" s="37"/>
      <c r="C751" s="35" t="s">
        <v>6803</v>
      </c>
      <c r="D751" s="35" t="s">
        <v>7532</v>
      </c>
      <c r="E751" s="35" t="s">
        <v>2101</v>
      </c>
      <c r="F751" s="36">
        <v>0</v>
      </c>
      <c r="G751" s="35" t="s">
        <v>2102</v>
      </c>
      <c r="H751" s="35" t="s">
        <v>2104</v>
      </c>
    </row>
    <row r="752" spans="1:8" ht="23.1" thickBot="1" x14ac:dyDescent="0.6">
      <c r="A752" s="44"/>
      <c r="B752" s="37"/>
      <c r="C752" s="35"/>
      <c r="D752" s="35"/>
      <c r="E752" s="35" t="s">
        <v>2105</v>
      </c>
      <c r="F752" s="36">
        <v>0</v>
      </c>
      <c r="G752" s="35" t="s">
        <v>2106</v>
      </c>
      <c r="H752" s="35" t="s">
        <v>2108</v>
      </c>
    </row>
    <row r="753" spans="1:8" ht="23.1" thickBot="1" x14ac:dyDescent="0.6">
      <c r="A753" s="44"/>
      <c r="B753" s="37"/>
      <c r="C753" s="35"/>
      <c r="D753" s="35"/>
      <c r="E753" s="35" t="s">
        <v>2109</v>
      </c>
      <c r="F753" s="36">
        <v>0</v>
      </c>
      <c r="G753" s="35" t="s">
        <v>1067</v>
      </c>
      <c r="H753" s="35" t="s">
        <v>2111</v>
      </c>
    </row>
    <row r="754" spans="1:8" ht="23.1" thickBot="1" x14ac:dyDescent="0.6">
      <c r="A754" s="44"/>
      <c r="B754" s="37"/>
      <c r="C754" s="35"/>
      <c r="D754" s="35"/>
      <c r="E754" s="35" t="s">
        <v>2112</v>
      </c>
      <c r="F754" s="36">
        <v>0</v>
      </c>
      <c r="G754" s="35" t="s">
        <v>2113</v>
      </c>
      <c r="H754" s="35" t="s">
        <v>2115</v>
      </c>
    </row>
    <row r="755" spans="1:8" ht="23.1" thickBot="1" x14ac:dyDescent="0.6">
      <c r="A755" s="44"/>
      <c r="B755" s="37"/>
      <c r="C755" s="35"/>
      <c r="D755" s="35"/>
      <c r="E755" s="35" t="s">
        <v>2116</v>
      </c>
      <c r="F755" s="36">
        <v>0</v>
      </c>
      <c r="G755" s="35" t="s">
        <v>2117</v>
      </c>
      <c r="H755" s="35" t="s">
        <v>2119</v>
      </c>
    </row>
    <row r="756" spans="1:8" ht="23.1" thickBot="1" x14ac:dyDescent="0.6">
      <c r="A756" s="44"/>
      <c r="B756" s="37"/>
      <c r="C756" s="35"/>
      <c r="D756" s="35"/>
      <c r="E756" s="35" t="s">
        <v>2120</v>
      </c>
      <c r="F756" s="36">
        <v>0</v>
      </c>
      <c r="G756" s="35" t="s">
        <v>2121</v>
      </c>
      <c r="H756" s="35" t="s">
        <v>2123</v>
      </c>
    </row>
    <row r="757" spans="1:8" ht="23.1" thickBot="1" x14ac:dyDescent="0.6">
      <c r="A757" s="44"/>
      <c r="B757" s="37"/>
      <c r="C757" s="35"/>
      <c r="D757" s="35"/>
      <c r="E757" s="35" t="s">
        <v>2124</v>
      </c>
      <c r="F757" s="36">
        <v>0</v>
      </c>
      <c r="G757" s="35" t="s">
        <v>2125</v>
      </c>
      <c r="H757" s="35" t="s">
        <v>2127</v>
      </c>
    </row>
    <row r="758" spans="1:8" ht="23.1" thickBot="1" x14ac:dyDescent="0.6">
      <c r="A758" s="44"/>
      <c r="B758" s="37"/>
      <c r="C758" s="35"/>
      <c r="D758" s="35"/>
      <c r="E758" s="35" t="s">
        <v>2128</v>
      </c>
      <c r="F758" s="36">
        <v>0</v>
      </c>
      <c r="G758" s="35" t="s">
        <v>2129</v>
      </c>
      <c r="H758" s="35" t="s">
        <v>2131</v>
      </c>
    </row>
    <row r="759" spans="1:8" ht="23.1" thickBot="1" x14ac:dyDescent="0.6">
      <c r="A759" s="44" t="s">
        <v>7533</v>
      </c>
      <c r="B759" s="37" t="s">
        <v>6648</v>
      </c>
      <c r="C759" s="35" t="s">
        <v>6829</v>
      </c>
      <c r="D759" s="35" t="s">
        <v>7534</v>
      </c>
      <c r="E759" s="35" t="s">
        <v>2132</v>
      </c>
      <c r="F759" s="36">
        <v>0</v>
      </c>
      <c r="G759" s="35" t="s">
        <v>777</v>
      </c>
      <c r="H759" s="35" t="s">
        <v>2134</v>
      </c>
    </row>
    <row r="760" spans="1:8" ht="23.1" thickBot="1" x14ac:dyDescent="0.6">
      <c r="A760" s="44"/>
      <c r="B760" s="37"/>
      <c r="C760" s="35" t="s">
        <v>6803</v>
      </c>
      <c r="D760" s="35" t="s">
        <v>7535</v>
      </c>
      <c r="E760" s="35" t="s">
        <v>2132</v>
      </c>
      <c r="F760" s="36">
        <v>0</v>
      </c>
      <c r="G760" s="35" t="s">
        <v>777</v>
      </c>
      <c r="H760" s="35" t="s">
        <v>2134</v>
      </c>
    </row>
    <row r="761" spans="1:8" ht="23.1" thickBot="1" x14ac:dyDescent="0.6">
      <c r="A761" s="44"/>
      <c r="B761" s="37"/>
      <c r="C761" s="35"/>
      <c r="D761" s="35"/>
      <c r="E761" s="35" t="s">
        <v>2135</v>
      </c>
      <c r="F761" s="36">
        <v>0</v>
      </c>
      <c r="G761" s="35" t="s">
        <v>2136</v>
      </c>
      <c r="H761" s="35" t="s">
        <v>2138</v>
      </c>
    </row>
    <row r="762" spans="1:8" ht="23.1" thickBot="1" x14ac:dyDescent="0.6">
      <c r="A762" s="44"/>
      <c r="B762" s="37"/>
      <c r="C762" s="35"/>
      <c r="D762" s="35"/>
      <c r="E762" s="35" t="s">
        <v>2139</v>
      </c>
      <c r="F762" s="36">
        <v>0</v>
      </c>
      <c r="G762" s="35" t="s">
        <v>2140</v>
      </c>
      <c r="H762" s="35" t="s">
        <v>2142</v>
      </c>
    </row>
    <row r="763" spans="1:8" ht="23.1" thickBot="1" x14ac:dyDescent="0.6">
      <c r="A763" s="44"/>
      <c r="B763" s="37"/>
      <c r="C763" s="35" t="s">
        <v>6787</v>
      </c>
      <c r="D763" s="35" t="s">
        <v>7536</v>
      </c>
      <c r="E763" s="35" t="s">
        <v>2143</v>
      </c>
      <c r="F763" s="36">
        <v>0</v>
      </c>
      <c r="G763" s="35" t="s">
        <v>2144</v>
      </c>
      <c r="H763" s="35" t="s">
        <v>2146</v>
      </c>
    </row>
    <row r="764" spans="1:8" ht="23.1" thickBot="1" x14ac:dyDescent="0.6">
      <c r="A764" s="44"/>
      <c r="B764" s="37"/>
      <c r="C764" s="35" t="s">
        <v>6787</v>
      </c>
      <c r="D764" s="35" t="s">
        <v>7537</v>
      </c>
      <c r="E764" s="35" t="s">
        <v>2147</v>
      </c>
      <c r="F764" s="36">
        <v>0</v>
      </c>
      <c r="G764" s="35" t="s">
        <v>2148</v>
      </c>
      <c r="H764" s="35" t="s">
        <v>2150</v>
      </c>
    </row>
    <row r="765" spans="1:8" ht="23.1" thickBot="1" x14ac:dyDescent="0.6">
      <c r="A765" s="44"/>
      <c r="B765" s="37"/>
      <c r="C765" s="35"/>
      <c r="D765" s="35"/>
      <c r="E765" s="35" t="s">
        <v>2151</v>
      </c>
      <c r="F765" s="36">
        <v>0</v>
      </c>
      <c r="G765" s="35" t="s">
        <v>2152</v>
      </c>
      <c r="H765" s="35" t="s">
        <v>2154</v>
      </c>
    </row>
    <row r="766" spans="1:8" ht="23.1" thickBot="1" x14ac:dyDescent="0.6">
      <c r="A766" s="44"/>
      <c r="B766" s="37"/>
      <c r="C766" s="35"/>
      <c r="D766" s="35"/>
      <c r="E766" s="35" t="s">
        <v>2155</v>
      </c>
      <c r="F766" s="36">
        <v>0</v>
      </c>
      <c r="G766" s="35" t="s">
        <v>2156</v>
      </c>
      <c r="H766" s="35" t="s">
        <v>2158</v>
      </c>
    </row>
    <row r="767" spans="1:8" ht="23.1" thickBot="1" x14ac:dyDescent="0.6">
      <c r="A767" s="44"/>
      <c r="B767" s="37"/>
      <c r="C767" s="35"/>
      <c r="D767" s="35"/>
      <c r="E767" s="35" t="s">
        <v>2159</v>
      </c>
      <c r="F767" s="36">
        <v>0</v>
      </c>
      <c r="G767" s="35" t="s">
        <v>2160</v>
      </c>
      <c r="H767" s="35" t="s">
        <v>2162</v>
      </c>
    </row>
    <row r="768" spans="1:8" ht="23.1" thickBot="1" x14ac:dyDescent="0.6">
      <c r="A768" s="44"/>
      <c r="B768" s="37"/>
      <c r="C768" s="35"/>
      <c r="D768" s="35"/>
      <c r="E768" s="35" t="s">
        <v>2163</v>
      </c>
      <c r="F768" s="36">
        <v>0</v>
      </c>
      <c r="G768" s="35" t="s">
        <v>2164</v>
      </c>
      <c r="H768" s="35" t="s">
        <v>2166</v>
      </c>
    </row>
    <row r="769" spans="1:8" ht="23.1" thickBot="1" x14ac:dyDescent="0.6">
      <c r="A769" s="44"/>
      <c r="B769" s="37"/>
      <c r="C769" s="35"/>
      <c r="D769" s="35"/>
      <c r="E769" s="35" t="s">
        <v>2167</v>
      </c>
      <c r="F769" s="36">
        <v>0</v>
      </c>
      <c r="G769" s="35" t="s">
        <v>2168</v>
      </c>
      <c r="H769" s="35" t="s">
        <v>2170</v>
      </c>
    </row>
    <row r="770" spans="1:8" ht="23.1" thickBot="1" x14ac:dyDescent="0.6">
      <c r="A770" s="44"/>
      <c r="B770" s="37"/>
      <c r="C770" s="35" t="s">
        <v>6787</v>
      </c>
      <c r="D770" s="35" t="s">
        <v>7538</v>
      </c>
      <c r="E770" s="35" t="s">
        <v>2171</v>
      </c>
      <c r="F770" s="36">
        <v>0</v>
      </c>
      <c r="G770" s="35" t="s">
        <v>2172</v>
      </c>
      <c r="H770" s="35" t="s">
        <v>2174</v>
      </c>
    </row>
    <row r="771" spans="1:8" ht="23.1" thickBot="1" x14ac:dyDescent="0.6">
      <c r="A771" s="44"/>
      <c r="B771" s="37"/>
      <c r="C771" s="35"/>
      <c r="D771" s="35"/>
      <c r="E771" s="35" t="s">
        <v>2175</v>
      </c>
      <c r="F771" s="36">
        <v>0</v>
      </c>
      <c r="G771" s="35" t="s">
        <v>2176</v>
      </c>
      <c r="H771" s="35" t="s">
        <v>2178</v>
      </c>
    </row>
    <row r="772" spans="1:8" ht="23.1" thickBot="1" x14ac:dyDescent="0.6">
      <c r="A772" s="44"/>
      <c r="B772" s="37"/>
      <c r="C772" s="35" t="s">
        <v>6787</v>
      </c>
      <c r="D772" s="35" t="s">
        <v>7539</v>
      </c>
      <c r="E772" s="35" t="s">
        <v>2179</v>
      </c>
      <c r="F772" s="36">
        <v>0</v>
      </c>
      <c r="G772" s="35" t="s">
        <v>2180</v>
      </c>
      <c r="H772" s="35" t="s">
        <v>2182</v>
      </c>
    </row>
    <row r="773" spans="1:8" ht="23.1" thickBot="1" x14ac:dyDescent="0.6">
      <c r="A773" s="44"/>
      <c r="B773" s="37"/>
      <c r="C773" s="35" t="s">
        <v>6787</v>
      </c>
      <c r="D773" s="35" t="s">
        <v>7540</v>
      </c>
      <c r="E773" s="35"/>
      <c r="F773" s="36"/>
      <c r="G773" s="35"/>
      <c r="H773" s="35"/>
    </row>
    <row r="774" spans="1:8" ht="23.1" thickBot="1" x14ac:dyDescent="0.6">
      <c r="A774" s="44" t="s">
        <v>7541</v>
      </c>
      <c r="B774" s="37" t="s">
        <v>6543</v>
      </c>
      <c r="C774" s="35" t="s">
        <v>6817</v>
      </c>
      <c r="D774" s="35" t="s">
        <v>7542</v>
      </c>
      <c r="E774" s="35" t="s">
        <v>2183</v>
      </c>
      <c r="F774" s="36">
        <v>0</v>
      </c>
      <c r="G774" s="35" t="s">
        <v>694</v>
      </c>
      <c r="H774" s="35" t="s">
        <v>2185</v>
      </c>
    </row>
    <row r="775" spans="1:8" ht="23.1" thickBot="1" x14ac:dyDescent="0.6">
      <c r="A775" s="44"/>
      <c r="B775" s="37"/>
      <c r="C775" s="35" t="s">
        <v>6818</v>
      </c>
      <c r="D775" s="35" t="s">
        <v>7543</v>
      </c>
      <c r="E775" s="35" t="s">
        <v>2183</v>
      </c>
      <c r="F775" s="36">
        <v>0</v>
      </c>
      <c r="G775" s="35" t="s">
        <v>694</v>
      </c>
      <c r="H775" s="35" t="s">
        <v>2185</v>
      </c>
    </row>
    <row r="776" spans="1:8" ht="23.1" thickBot="1" x14ac:dyDescent="0.6">
      <c r="A776" s="44"/>
      <c r="B776" s="37"/>
      <c r="C776" s="35" t="s">
        <v>6787</v>
      </c>
      <c r="D776" s="35" t="s">
        <v>7544</v>
      </c>
      <c r="E776" s="35" t="s">
        <v>2186</v>
      </c>
      <c r="F776" s="36">
        <v>0</v>
      </c>
      <c r="G776" s="35" t="s">
        <v>2187</v>
      </c>
      <c r="H776" s="35" t="s">
        <v>2189</v>
      </c>
    </row>
    <row r="777" spans="1:8" ht="23.1" thickBot="1" x14ac:dyDescent="0.6">
      <c r="A777" s="44"/>
      <c r="B777" s="37"/>
      <c r="C777" s="35" t="s">
        <v>6787</v>
      </c>
      <c r="D777" s="35" t="s">
        <v>7545</v>
      </c>
      <c r="E777" s="35" t="s">
        <v>2190</v>
      </c>
      <c r="F777" s="36">
        <v>0</v>
      </c>
      <c r="G777" s="35" t="s">
        <v>2191</v>
      </c>
      <c r="H777" s="35" t="s">
        <v>2193</v>
      </c>
    </row>
    <row r="778" spans="1:8" ht="23.1" thickBot="1" x14ac:dyDescent="0.6">
      <c r="A778" s="44" t="s">
        <v>7546</v>
      </c>
      <c r="B778" s="37" t="s">
        <v>6542</v>
      </c>
      <c r="C778" s="35" t="s">
        <v>6817</v>
      </c>
      <c r="D778" s="35" t="s">
        <v>7547</v>
      </c>
      <c r="E778" s="35" t="s">
        <v>2194</v>
      </c>
      <c r="F778" s="36">
        <v>0</v>
      </c>
      <c r="G778" s="35" t="s">
        <v>2195</v>
      </c>
      <c r="H778" s="35" t="s">
        <v>2197</v>
      </c>
    </row>
    <row r="779" spans="1:8" ht="23.1" thickBot="1" x14ac:dyDescent="0.6">
      <c r="A779" s="44"/>
      <c r="B779" s="37"/>
      <c r="C779" s="35" t="s">
        <v>6787</v>
      </c>
      <c r="D779" s="35" t="s">
        <v>7548</v>
      </c>
      <c r="E779" s="35" t="s">
        <v>2198</v>
      </c>
      <c r="F779" s="36">
        <v>0</v>
      </c>
      <c r="G779" s="35" t="s">
        <v>2199</v>
      </c>
      <c r="H779" s="35" t="s">
        <v>2201</v>
      </c>
    </row>
    <row r="780" spans="1:8" ht="23.1" thickBot="1" x14ac:dyDescent="0.6">
      <c r="A780" s="44"/>
      <c r="B780" s="37"/>
      <c r="C780" s="35"/>
      <c r="D780" s="35"/>
      <c r="E780" s="35" t="s">
        <v>2202</v>
      </c>
      <c r="F780" s="36">
        <v>0</v>
      </c>
      <c r="G780" s="35" t="s">
        <v>2203</v>
      </c>
      <c r="H780" s="35" t="s">
        <v>2205</v>
      </c>
    </row>
    <row r="781" spans="1:8" ht="23.1" thickBot="1" x14ac:dyDescent="0.6">
      <c r="A781" s="44"/>
      <c r="B781" s="37"/>
      <c r="C781" s="35"/>
      <c r="D781" s="35"/>
      <c r="E781" s="35" t="s">
        <v>2206</v>
      </c>
      <c r="F781" s="36">
        <v>0</v>
      </c>
      <c r="G781" s="35" t="s">
        <v>2207</v>
      </c>
      <c r="H781" s="35" t="s">
        <v>2208</v>
      </c>
    </row>
    <row r="782" spans="1:8" ht="23.1" thickBot="1" x14ac:dyDescent="0.6">
      <c r="A782" s="44"/>
      <c r="B782" s="37"/>
      <c r="C782" s="35"/>
      <c r="D782" s="35"/>
      <c r="E782" s="35" t="s">
        <v>2209</v>
      </c>
      <c r="F782" s="36">
        <v>0</v>
      </c>
      <c r="G782" s="35" t="s">
        <v>2210</v>
      </c>
      <c r="H782" s="35" t="s">
        <v>2212</v>
      </c>
    </row>
    <row r="783" spans="1:8" ht="23.1" thickBot="1" x14ac:dyDescent="0.6">
      <c r="A783" s="44"/>
      <c r="B783" s="37"/>
      <c r="C783" s="35"/>
      <c r="D783" s="35"/>
      <c r="E783" s="35" t="s">
        <v>2213</v>
      </c>
      <c r="F783" s="36">
        <v>0</v>
      </c>
      <c r="G783" s="35" t="s">
        <v>2214</v>
      </c>
      <c r="H783" s="35" t="s">
        <v>2216</v>
      </c>
    </row>
    <row r="784" spans="1:8" ht="23.1" thickBot="1" x14ac:dyDescent="0.6">
      <c r="A784" s="44"/>
      <c r="B784" s="37"/>
      <c r="C784" s="35"/>
      <c r="D784" s="35"/>
      <c r="E784" s="35" t="s">
        <v>2217</v>
      </c>
      <c r="F784" s="36">
        <v>0</v>
      </c>
      <c r="G784" s="35" t="s">
        <v>2218</v>
      </c>
      <c r="H784" s="35" t="s">
        <v>2220</v>
      </c>
    </row>
    <row r="785" spans="1:8" ht="23.1" thickBot="1" x14ac:dyDescent="0.6">
      <c r="A785" s="44"/>
      <c r="B785" s="37"/>
      <c r="C785" s="35"/>
      <c r="D785" s="35"/>
      <c r="E785" s="35" t="s">
        <v>2221</v>
      </c>
      <c r="F785" s="36">
        <v>0</v>
      </c>
      <c r="G785" s="35" t="s">
        <v>2222</v>
      </c>
      <c r="H785" s="35" t="s">
        <v>2224</v>
      </c>
    </row>
    <row r="786" spans="1:8" ht="23.1" thickBot="1" x14ac:dyDescent="0.6">
      <c r="A786" s="44"/>
      <c r="B786" s="37"/>
      <c r="C786" s="35"/>
      <c r="D786" s="35"/>
      <c r="E786" s="35" t="s">
        <v>2225</v>
      </c>
      <c r="F786" s="36">
        <v>0</v>
      </c>
      <c r="G786" s="35" t="s">
        <v>2226</v>
      </c>
      <c r="H786" s="35" t="s">
        <v>2228</v>
      </c>
    </row>
    <row r="787" spans="1:8" ht="23.1" thickBot="1" x14ac:dyDescent="0.6">
      <c r="A787" s="44"/>
      <c r="B787" s="37"/>
      <c r="C787" s="35"/>
      <c r="D787" s="35"/>
      <c r="E787" s="35" t="s">
        <v>2231</v>
      </c>
      <c r="F787" s="36">
        <v>0</v>
      </c>
      <c r="G787" s="35" t="s">
        <v>2232</v>
      </c>
      <c r="H787" s="35" t="s">
        <v>2234</v>
      </c>
    </row>
    <row r="788" spans="1:8" ht="23.1" thickBot="1" x14ac:dyDescent="0.6">
      <c r="A788" s="44"/>
      <c r="B788" s="37"/>
      <c r="C788" s="35"/>
      <c r="D788" s="35"/>
      <c r="E788" s="35" t="s">
        <v>2235</v>
      </c>
      <c r="F788" s="36">
        <v>0</v>
      </c>
      <c r="G788" s="35" t="s">
        <v>2236</v>
      </c>
      <c r="H788" s="35" t="s">
        <v>2238</v>
      </c>
    </row>
    <row r="789" spans="1:8" ht="23.1" thickBot="1" x14ac:dyDescent="0.6">
      <c r="A789" s="44"/>
      <c r="B789" s="37"/>
      <c r="C789" s="35"/>
      <c r="D789" s="35"/>
      <c r="E789" s="35" t="s">
        <v>2239</v>
      </c>
      <c r="F789" s="36">
        <v>0</v>
      </c>
      <c r="G789" s="35" t="s">
        <v>2240</v>
      </c>
      <c r="H789" s="35" t="s">
        <v>2242</v>
      </c>
    </row>
    <row r="790" spans="1:8" ht="23.1" thickBot="1" x14ac:dyDescent="0.6">
      <c r="A790" s="44"/>
      <c r="B790" s="37"/>
      <c r="C790" s="35"/>
      <c r="D790" s="35"/>
      <c r="E790" s="35" t="s">
        <v>2243</v>
      </c>
      <c r="F790" s="36">
        <v>0</v>
      </c>
      <c r="G790" s="35" t="s">
        <v>2244</v>
      </c>
      <c r="H790" s="35" t="s">
        <v>2246</v>
      </c>
    </row>
    <row r="791" spans="1:8" ht="23.1" thickBot="1" x14ac:dyDescent="0.6">
      <c r="A791" s="44"/>
      <c r="B791" s="37"/>
      <c r="C791" s="35"/>
      <c r="D791" s="35"/>
      <c r="E791" s="35" t="s">
        <v>2247</v>
      </c>
      <c r="F791" s="36">
        <v>0</v>
      </c>
      <c r="G791" s="35" t="s">
        <v>2248</v>
      </c>
      <c r="H791" s="35" t="s">
        <v>2250</v>
      </c>
    </row>
    <row r="792" spans="1:8" ht="23.1" thickBot="1" x14ac:dyDescent="0.6">
      <c r="A792" s="44"/>
      <c r="B792" s="37"/>
      <c r="C792" s="35"/>
      <c r="D792" s="35"/>
      <c r="E792" s="35" t="s">
        <v>2251</v>
      </c>
      <c r="F792" s="36">
        <v>0</v>
      </c>
      <c r="G792" s="35" t="s">
        <v>2252</v>
      </c>
      <c r="H792" s="35" t="s">
        <v>2254</v>
      </c>
    </row>
    <row r="793" spans="1:8" ht="23.1" thickBot="1" x14ac:dyDescent="0.6">
      <c r="A793" s="44"/>
      <c r="B793" s="37"/>
      <c r="C793" s="35" t="s">
        <v>6760</v>
      </c>
      <c r="D793" s="35" t="s">
        <v>7549</v>
      </c>
      <c r="E793" s="35" t="s">
        <v>2255</v>
      </c>
      <c r="F793" s="36">
        <v>0</v>
      </c>
      <c r="G793" s="35" t="s">
        <v>2256</v>
      </c>
      <c r="H793" s="35" t="s">
        <v>2258</v>
      </c>
    </row>
    <row r="794" spans="1:8" ht="23.1" thickBot="1" x14ac:dyDescent="0.6">
      <c r="A794" s="44"/>
      <c r="B794" s="37"/>
      <c r="C794" s="35" t="s">
        <v>6761</v>
      </c>
      <c r="D794" s="35" t="s">
        <v>7550</v>
      </c>
      <c r="E794" s="35" t="s">
        <v>2255</v>
      </c>
      <c r="F794" s="36">
        <v>0</v>
      </c>
      <c r="G794" s="35" t="s">
        <v>2256</v>
      </c>
      <c r="H794" s="35" t="s">
        <v>2258</v>
      </c>
    </row>
    <row r="795" spans="1:8" ht="23.1" thickBot="1" x14ac:dyDescent="0.6">
      <c r="A795" s="44"/>
      <c r="B795" s="37"/>
      <c r="C795" s="35" t="s">
        <v>6760</v>
      </c>
      <c r="D795" s="35" t="s">
        <v>7551</v>
      </c>
      <c r="E795" s="35" t="s">
        <v>2259</v>
      </c>
      <c r="F795" s="36">
        <v>0</v>
      </c>
      <c r="G795" s="35" t="s">
        <v>2260</v>
      </c>
      <c r="H795" s="35" t="s">
        <v>2262</v>
      </c>
    </row>
    <row r="796" spans="1:8" ht="23.1" thickBot="1" x14ac:dyDescent="0.6">
      <c r="A796" s="44"/>
      <c r="B796" s="37"/>
      <c r="C796" s="35" t="s">
        <v>6761</v>
      </c>
      <c r="D796" s="35" t="s">
        <v>7552</v>
      </c>
      <c r="E796" s="35" t="s">
        <v>2259</v>
      </c>
      <c r="F796" s="36">
        <v>0</v>
      </c>
      <c r="G796" s="35" t="s">
        <v>2260</v>
      </c>
      <c r="H796" s="35" t="s">
        <v>2262</v>
      </c>
    </row>
    <row r="797" spans="1:8" ht="23.1" thickBot="1" x14ac:dyDescent="0.6">
      <c r="A797" s="44"/>
      <c r="B797" s="37"/>
      <c r="C797" s="35"/>
      <c r="D797" s="35"/>
      <c r="E797" s="35" t="s">
        <v>2263</v>
      </c>
      <c r="F797" s="36">
        <v>0</v>
      </c>
      <c r="G797" s="35" t="s">
        <v>2264</v>
      </c>
      <c r="H797" s="35" t="s">
        <v>2266</v>
      </c>
    </row>
    <row r="798" spans="1:8" ht="23.1" thickBot="1" x14ac:dyDescent="0.6">
      <c r="A798" s="44"/>
      <c r="B798" s="37"/>
      <c r="C798" s="35" t="s">
        <v>6760</v>
      </c>
      <c r="D798" s="35" t="s">
        <v>7553</v>
      </c>
      <c r="E798" s="35" t="s">
        <v>2267</v>
      </c>
      <c r="F798" s="36">
        <v>0</v>
      </c>
      <c r="G798" s="35" t="s">
        <v>2268</v>
      </c>
      <c r="H798" s="35" t="s">
        <v>2270</v>
      </c>
    </row>
    <row r="799" spans="1:8" ht="23.1" thickBot="1" x14ac:dyDescent="0.6">
      <c r="A799" s="44"/>
      <c r="B799" s="37"/>
      <c r="C799" s="35" t="s">
        <v>6761</v>
      </c>
      <c r="D799" s="35" t="s">
        <v>7554</v>
      </c>
      <c r="E799" s="35" t="s">
        <v>2267</v>
      </c>
      <c r="F799" s="36">
        <v>0</v>
      </c>
      <c r="G799" s="35" t="s">
        <v>2268</v>
      </c>
      <c r="H799" s="35" t="s">
        <v>2270</v>
      </c>
    </row>
    <row r="800" spans="1:8" ht="23.1" thickBot="1" x14ac:dyDescent="0.6">
      <c r="A800" s="44"/>
      <c r="B800" s="37"/>
      <c r="C800" s="35"/>
      <c r="D800" s="35"/>
      <c r="E800" s="35" t="s">
        <v>2271</v>
      </c>
      <c r="F800" s="36">
        <v>0</v>
      </c>
      <c r="G800" s="35" t="s">
        <v>2272</v>
      </c>
      <c r="H800" s="35" t="s">
        <v>2274</v>
      </c>
    </row>
    <row r="801" spans="1:8" ht="23.1" thickBot="1" x14ac:dyDescent="0.6">
      <c r="A801" s="44"/>
      <c r="B801" s="37"/>
      <c r="C801" s="35" t="s">
        <v>6760</v>
      </c>
      <c r="D801" s="35" t="s">
        <v>7555</v>
      </c>
      <c r="E801" s="35" t="s">
        <v>2275</v>
      </c>
      <c r="F801" s="36">
        <v>0</v>
      </c>
      <c r="G801" s="35" t="s">
        <v>2276</v>
      </c>
      <c r="H801" s="35" t="s">
        <v>2278</v>
      </c>
    </row>
    <row r="802" spans="1:8" ht="23.1" thickBot="1" x14ac:dyDescent="0.6">
      <c r="A802" s="44"/>
      <c r="B802" s="37"/>
      <c r="C802" s="35" t="s">
        <v>6761</v>
      </c>
      <c r="D802" s="35" t="s">
        <v>7556</v>
      </c>
      <c r="E802" s="35" t="s">
        <v>2275</v>
      </c>
      <c r="F802" s="36">
        <v>0</v>
      </c>
      <c r="G802" s="35" t="s">
        <v>2276</v>
      </c>
      <c r="H802" s="35" t="s">
        <v>2278</v>
      </c>
    </row>
    <row r="803" spans="1:8" ht="23.1" thickBot="1" x14ac:dyDescent="0.6">
      <c r="A803" s="44"/>
      <c r="B803" s="37"/>
      <c r="C803" s="35"/>
      <c r="D803" s="35"/>
      <c r="E803" s="35" t="s">
        <v>2279</v>
      </c>
      <c r="F803" s="36">
        <v>0</v>
      </c>
      <c r="G803" s="35" t="s">
        <v>2280</v>
      </c>
      <c r="H803" s="35" t="s">
        <v>2282</v>
      </c>
    </row>
    <row r="804" spans="1:8" ht="23.1" thickBot="1" x14ac:dyDescent="0.6">
      <c r="A804" s="44"/>
      <c r="B804" s="37"/>
      <c r="C804" s="35"/>
      <c r="D804" s="35"/>
      <c r="E804" s="35" t="s">
        <v>2283</v>
      </c>
      <c r="F804" s="36">
        <v>0</v>
      </c>
      <c r="G804" s="35" t="s">
        <v>2284</v>
      </c>
      <c r="H804" s="35" t="s">
        <v>2286</v>
      </c>
    </row>
    <row r="805" spans="1:8" ht="23.1" thickBot="1" x14ac:dyDescent="0.6">
      <c r="A805" s="44"/>
      <c r="B805" s="37"/>
      <c r="C805" s="35"/>
      <c r="D805" s="35"/>
      <c r="E805" s="35" t="s">
        <v>2287</v>
      </c>
      <c r="F805" s="36">
        <v>0</v>
      </c>
      <c r="G805" s="35" t="s">
        <v>1548</v>
      </c>
      <c r="H805" s="35" t="s">
        <v>2289</v>
      </c>
    </row>
    <row r="806" spans="1:8" ht="23.1" thickBot="1" x14ac:dyDescent="0.6">
      <c r="A806" s="44"/>
      <c r="B806" s="37"/>
      <c r="C806" s="35"/>
      <c r="D806" s="35"/>
      <c r="E806" s="35" t="s">
        <v>2290</v>
      </c>
      <c r="F806" s="36">
        <v>0</v>
      </c>
      <c r="G806" s="35" t="s">
        <v>2291</v>
      </c>
      <c r="H806" s="35" t="s">
        <v>2293</v>
      </c>
    </row>
    <row r="807" spans="1:8" ht="23.1" thickBot="1" x14ac:dyDescent="0.6">
      <c r="A807" s="44"/>
      <c r="B807" s="37"/>
      <c r="C807" s="35"/>
      <c r="D807" s="35"/>
      <c r="E807" s="35" t="s">
        <v>2294</v>
      </c>
      <c r="F807" s="36">
        <v>0</v>
      </c>
      <c r="G807" s="35" t="s">
        <v>2295</v>
      </c>
      <c r="H807" s="35" t="s">
        <v>2297</v>
      </c>
    </row>
    <row r="808" spans="1:8" ht="23.1" thickBot="1" x14ac:dyDescent="0.6">
      <c r="A808" s="44"/>
      <c r="B808" s="37"/>
      <c r="C808" s="35"/>
      <c r="D808" s="35"/>
      <c r="E808" s="35" t="s">
        <v>2298</v>
      </c>
      <c r="F808" s="36">
        <v>0</v>
      </c>
      <c r="G808" s="35" t="s">
        <v>2284</v>
      </c>
      <c r="H808" s="35" t="s">
        <v>2300</v>
      </c>
    </row>
    <row r="809" spans="1:8" ht="23.1" thickBot="1" x14ac:dyDescent="0.6">
      <c r="A809" s="44"/>
      <c r="B809" s="37"/>
      <c r="C809" s="35"/>
      <c r="D809" s="35"/>
      <c r="E809" s="35" t="s">
        <v>2301</v>
      </c>
      <c r="F809" s="36">
        <v>0</v>
      </c>
      <c r="G809" s="35" t="s">
        <v>2302</v>
      </c>
      <c r="H809" s="35" t="s">
        <v>2304</v>
      </c>
    </row>
    <row r="810" spans="1:8" ht="23.1" thickBot="1" x14ac:dyDescent="0.6">
      <c r="A810" s="44"/>
      <c r="B810" s="37"/>
      <c r="C810" s="35"/>
      <c r="D810" s="35"/>
      <c r="E810" s="35" t="s">
        <v>2305</v>
      </c>
      <c r="F810" s="36">
        <v>0</v>
      </c>
      <c r="G810" s="35" t="s">
        <v>2306</v>
      </c>
      <c r="H810" s="35" t="s">
        <v>2308</v>
      </c>
    </row>
    <row r="811" spans="1:8" ht="23.1" thickBot="1" x14ac:dyDescent="0.6">
      <c r="A811" s="44"/>
      <c r="B811" s="37"/>
      <c r="C811" s="35"/>
      <c r="D811" s="35"/>
      <c r="E811" s="35" t="s">
        <v>2309</v>
      </c>
      <c r="F811" s="36">
        <v>0</v>
      </c>
      <c r="G811" s="35" t="s">
        <v>2310</v>
      </c>
      <c r="H811" s="35" t="s">
        <v>2312</v>
      </c>
    </row>
    <row r="812" spans="1:8" ht="23.1" thickBot="1" x14ac:dyDescent="0.6">
      <c r="A812" s="44" t="s">
        <v>7557</v>
      </c>
      <c r="B812" s="37" t="s">
        <v>6683</v>
      </c>
      <c r="C812" s="35" t="s">
        <v>6829</v>
      </c>
      <c r="D812" s="35" t="s">
        <v>7558</v>
      </c>
      <c r="E812" s="35" t="s">
        <v>2313</v>
      </c>
      <c r="F812" s="36">
        <v>0</v>
      </c>
      <c r="G812" s="35" t="s">
        <v>2314</v>
      </c>
      <c r="H812" s="35" t="s">
        <v>2316</v>
      </c>
    </row>
    <row r="813" spans="1:8" ht="23.1" thickBot="1" x14ac:dyDescent="0.6">
      <c r="A813" s="44"/>
      <c r="B813" s="37"/>
      <c r="C813" s="35" t="s">
        <v>6803</v>
      </c>
      <c r="D813" s="35" t="s">
        <v>7559</v>
      </c>
      <c r="E813" s="35" t="s">
        <v>2313</v>
      </c>
      <c r="F813" s="36">
        <v>0</v>
      </c>
      <c r="G813" s="35" t="s">
        <v>2314</v>
      </c>
      <c r="H813" s="35" t="s">
        <v>2316</v>
      </c>
    </row>
    <row r="814" spans="1:8" ht="23.1" thickBot="1" x14ac:dyDescent="0.6">
      <c r="A814" s="44"/>
      <c r="B814" s="37"/>
      <c r="C814" s="35"/>
      <c r="D814" s="35"/>
      <c r="E814" s="35" t="s">
        <v>2318</v>
      </c>
      <c r="F814" s="36">
        <v>0</v>
      </c>
      <c r="G814" s="35" t="s">
        <v>2319</v>
      </c>
      <c r="H814" s="35" t="s">
        <v>2317</v>
      </c>
    </row>
    <row r="815" spans="1:8" ht="23.1" thickBot="1" x14ac:dyDescent="0.6">
      <c r="A815" s="44"/>
      <c r="B815" s="37"/>
      <c r="C815" s="35"/>
      <c r="D815" s="35"/>
      <c r="E815" s="35" t="s">
        <v>2321</v>
      </c>
      <c r="F815" s="36">
        <v>1</v>
      </c>
      <c r="G815" s="35" t="s">
        <v>2322</v>
      </c>
      <c r="H815" s="35" t="s">
        <v>2317</v>
      </c>
    </row>
    <row r="816" spans="1:8" ht="23.1" thickBot="1" x14ac:dyDescent="0.6">
      <c r="A816" s="44"/>
      <c r="B816" s="37"/>
      <c r="C816" s="35"/>
      <c r="D816" s="35"/>
      <c r="E816" s="35" t="s">
        <v>2324</v>
      </c>
      <c r="F816" s="36">
        <v>2</v>
      </c>
      <c r="G816" s="35" t="s">
        <v>2325</v>
      </c>
      <c r="H816" s="35" t="s">
        <v>2317</v>
      </c>
    </row>
    <row r="817" spans="1:8" ht="23.1" thickBot="1" x14ac:dyDescent="0.6">
      <c r="A817" s="44"/>
      <c r="B817" s="37"/>
      <c r="C817" s="35"/>
      <c r="D817" s="35"/>
      <c r="E817" s="35" t="s">
        <v>2327</v>
      </c>
      <c r="F817" s="36">
        <v>3</v>
      </c>
      <c r="G817" s="35" t="s">
        <v>2328</v>
      </c>
      <c r="H817" s="35" t="s">
        <v>2317</v>
      </c>
    </row>
    <row r="818" spans="1:8" ht="23.1" thickBot="1" x14ac:dyDescent="0.6">
      <c r="A818" s="44"/>
      <c r="B818" s="37"/>
      <c r="C818" s="35"/>
      <c r="D818" s="35"/>
      <c r="E818" s="35" t="s">
        <v>2330</v>
      </c>
      <c r="F818" s="36">
        <v>4</v>
      </c>
      <c r="G818" s="35" t="s">
        <v>2331</v>
      </c>
      <c r="H818" s="35" t="s">
        <v>2317</v>
      </c>
    </row>
    <row r="819" spans="1:8" ht="23.1" thickBot="1" x14ac:dyDescent="0.6">
      <c r="A819" s="44"/>
      <c r="B819" s="37"/>
      <c r="C819" s="35"/>
      <c r="D819" s="35"/>
      <c r="E819" s="35" t="s">
        <v>2333</v>
      </c>
      <c r="F819" s="36">
        <v>5</v>
      </c>
      <c r="G819" s="35" t="s">
        <v>2334</v>
      </c>
      <c r="H819" s="35" t="s">
        <v>2317</v>
      </c>
    </row>
    <row r="820" spans="1:8" ht="23.1" thickBot="1" x14ac:dyDescent="0.6">
      <c r="A820" s="44"/>
      <c r="B820" s="37"/>
      <c r="C820" s="35"/>
      <c r="D820" s="35"/>
      <c r="E820" s="35" t="s">
        <v>2336</v>
      </c>
      <c r="F820" s="36">
        <v>6</v>
      </c>
      <c r="G820" s="35" t="s">
        <v>1139</v>
      </c>
      <c r="H820" s="35" t="s">
        <v>2317</v>
      </c>
    </row>
    <row r="821" spans="1:8" ht="23.1" thickBot="1" x14ac:dyDescent="0.6">
      <c r="A821" s="44"/>
      <c r="B821" s="37"/>
      <c r="C821" s="35"/>
      <c r="D821" s="35"/>
      <c r="E821" s="35" t="s">
        <v>2338</v>
      </c>
      <c r="F821" s="36">
        <v>7</v>
      </c>
      <c r="G821" s="35" t="s">
        <v>2339</v>
      </c>
      <c r="H821" s="35" t="s">
        <v>2317</v>
      </c>
    </row>
    <row r="822" spans="1:8" ht="23.1" thickBot="1" x14ac:dyDescent="0.6">
      <c r="A822" s="44"/>
      <c r="B822" s="37"/>
      <c r="C822" s="35"/>
      <c r="D822" s="35"/>
      <c r="E822" s="35" t="s">
        <v>2341</v>
      </c>
      <c r="F822" s="36">
        <v>8</v>
      </c>
      <c r="G822" s="35" t="s">
        <v>2342</v>
      </c>
      <c r="H822" s="35" t="s">
        <v>2317</v>
      </c>
    </row>
    <row r="823" spans="1:8" ht="23.1" thickBot="1" x14ac:dyDescent="0.6">
      <c r="A823" s="44"/>
      <c r="B823" s="37"/>
      <c r="C823" s="35"/>
      <c r="D823" s="35"/>
      <c r="E823" s="35" t="s">
        <v>2344</v>
      </c>
      <c r="F823" s="36">
        <v>9</v>
      </c>
      <c r="G823" s="35" t="s">
        <v>2345</v>
      </c>
      <c r="H823" s="35" t="s">
        <v>2317</v>
      </c>
    </row>
    <row r="824" spans="1:8" ht="23.1" thickBot="1" x14ac:dyDescent="0.6">
      <c r="A824" s="44"/>
      <c r="B824" s="37"/>
      <c r="C824" s="35"/>
      <c r="D824" s="35"/>
      <c r="E824" s="35" t="s">
        <v>2347</v>
      </c>
      <c r="F824" s="36">
        <v>999</v>
      </c>
      <c r="G824" s="35" t="s">
        <v>135</v>
      </c>
      <c r="H824" s="35" t="s">
        <v>2317</v>
      </c>
    </row>
    <row r="825" spans="1:8" ht="23.1" thickBot="1" x14ac:dyDescent="0.6">
      <c r="A825" s="44"/>
      <c r="B825" s="37"/>
      <c r="C825" s="35"/>
      <c r="D825" s="35"/>
      <c r="E825" s="35" t="s">
        <v>2349</v>
      </c>
      <c r="F825" s="36">
        <v>0</v>
      </c>
      <c r="G825" s="35" t="s">
        <v>2350</v>
      </c>
      <c r="H825" s="35" t="s">
        <v>2352</v>
      </c>
    </row>
    <row r="826" spans="1:8" ht="23.1" thickBot="1" x14ac:dyDescent="0.6">
      <c r="A826" s="44"/>
      <c r="B826" s="37"/>
      <c r="C826" s="35"/>
      <c r="D826" s="35"/>
      <c r="E826" s="35" t="s">
        <v>2353</v>
      </c>
      <c r="F826" s="36">
        <v>0</v>
      </c>
      <c r="G826" s="35" t="s">
        <v>2354</v>
      </c>
      <c r="H826" s="35" t="s">
        <v>2356</v>
      </c>
    </row>
    <row r="827" spans="1:8" ht="23.1" thickBot="1" x14ac:dyDescent="0.6">
      <c r="A827" s="44" t="s">
        <v>7560</v>
      </c>
      <c r="B827" s="37" t="s">
        <v>6587</v>
      </c>
      <c r="C827" s="35" t="s">
        <v>6792</v>
      </c>
      <c r="D827" s="35" t="s">
        <v>7561</v>
      </c>
      <c r="E827" s="35" t="s">
        <v>2357</v>
      </c>
      <c r="F827" s="36">
        <v>0</v>
      </c>
      <c r="G827" s="35" t="s">
        <v>2358</v>
      </c>
      <c r="H827" s="35" t="s">
        <v>2360</v>
      </c>
    </row>
    <row r="828" spans="1:8" ht="23.1" thickBot="1" x14ac:dyDescent="0.6">
      <c r="A828" s="44"/>
      <c r="B828" s="37"/>
      <c r="C828" s="35" t="s">
        <v>6764</v>
      </c>
      <c r="D828" s="35" t="s">
        <v>7562</v>
      </c>
      <c r="E828" s="35" t="s">
        <v>2357</v>
      </c>
      <c r="F828" s="36">
        <v>0</v>
      </c>
      <c r="G828" s="35" t="s">
        <v>2358</v>
      </c>
      <c r="H828" s="35" t="s">
        <v>2360</v>
      </c>
    </row>
    <row r="829" spans="1:8" ht="23.1" thickBot="1" x14ac:dyDescent="0.6">
      <c r="A829" s="44"/>
      <c r="B829" s="37"/>
      <c r="C829" s="35"/>
      <c r="D829" s="35"/>
      <c r="E829" s="35" t="s">
        <v>2361</v>
      </c>
      <c r="F829" s="36">
        <v>0</v>
      </c>
      <c r="G829" s="35" t="s">
        <v>2362</v>
      </c>
      <c r="H829" s="35" t="s">
        <v>2364</v>
      </c>
    </row>
    <row r="830" spans="1:8" ht="23.1" thickBot="1" x14ac:dyDescent="0.6">
      <c r="A830" s="44"/>
      <c r="B830" s="37"/>
      <c r="C830" s="35" t="s">
        <v>6801</v>
      </c>
      <c r="D830" s="35" t="s">
        <v>7563</v>
      </c>
      <c r="E830" s="35" t="s">
        <v>2365</v>
      </c>
      <c r="F830" s="36">
        <v>0</v>
      </c>
      <c r="G830" s="35" t="s">
        <v>2366</v>
      </c>
      <c r="H830" s="35" t="s">
        <v>2368</v>
      </c>
    </row>
    <row r="831" spans="1:8" ht="23.1" thickBot="1" x14ac:dyDescent="0.6">
      <c r="A831" s="44"/>
      <c r="B831" s="37"/>
      <c r="C831" s="35" t="s">
        <v>6761</v>
      </c>
      <c r="D831" s="35" t="s">
        <v>7564</v>
      </c>
      <c r="E831" s="35" t="s">
        <v>2365</v>
      </c>
      <c r="F831" s="36">
        <v>0</v>
      </c>
      <c r="G831" s="35" t="s">
        <v>2366</v>
      </c>
      <c r="H831" s="35" t="s">
        <v>2368</v>
      </c>
    </row>
    <row r="832" spans="1:8" ht="23.1" thickBot="1" x14ac:dyDescent="0.6">
      <c r="A832" s="44"/>
      <c r="B832" s="37"/>
      <c r="C832" s="35"/>
      <c r="D832" s="35"/>
      <c r="E832" s="35" t="s">
        <v>2369</v>
      </c>
      <c r="F832" s="36">
        <v>0</v>
      </c>
      <c r="G832" s="35" t="s">
        <v>2370</v>
      </c>
      <c r="H832" s="35" t="s">
        <v>2372</v>
      </c>
    </row>
    <row r="833" spans="1:8" ht="23.1" thickBot="1" x14ac:dyDescent="0.6">
      <c r="A833" s="44"/>
      <c r="B833" s="37"/>
      <c r="C833" s="35"/>
      <c r="D833" s="35"/>
      <c r="E833" s="35" t="s">
        <v>2373</v>
      </c>
      <c r="F833" s="36">
        <v>0</v>
      </c>
      <c r="G833" s="35" t="s">
        <v>2374</v>
      </c>
      <c r="H833" s="35" t="s">
        <v>2376</v>
      </c>
    </row>
    <row r="834" spans="1:8" ht="23.1" thickBot="1" x14ac:dyDescent="0.6">
      <c r="A834" s="44"/>
      <c r="B834" s="37"/>
      <c r="C834" s="35"/>
      <c r="D834" s="35"/>
      <c r="E834" s="35" t="s">
        <v>2377</v>
      </c>
      <c r="F834" s="36">
        <v>0</v>
      </c>
      <c r="G834" s="35" t="s">
        <v>2378</v>
      </c>
      <c r="H834" s="35" t="s">
        <v>2380</v>
      </c>
    </row>
    <row r="835" spans="1:8" ht="23.1" thickBot="1" x14ac:dyDescent="0.6">
      <c r="A835" s="44"/>
      <c r="B835" s="37"/>
      <c r="C835" s="35"/>
      <c r="D835" s="35"/>
      <c r="E835" s="35" t="s">
        <v>2381</v>
      </c>
      <c r="F835" s="36">
        <v>0</v>
      </c>
      <c r="G835" s="35" t="s">
        <v>2382</v>
      </c>
      <c r="H835" s="35" t="s">
        <v>2384</v>
      </c>
    </row>
    <row r="836" spans="1:8" ht="23.1" thickBot="1" x14ac:dyDescent="0.6">
      <c r="A836" s="44"/>
      <c r="B836" s="37"/>
      <c r="C836" s="35" t="s">
        <v>6760</v>
      </c>
      <c r="D836" s="35" t="s">
        <v>7565</v>
      </c>
      <c r="E836" s="35" t="s">
        <v>2385</v>
      </c>
      <c r="F836" s="36">
        <v>0</v>
      </c>
      <c r="G836" s="35" t="s">
        <v>2386</v>
      </c>
      <c r="H836" s="35" t="s">
        <v>2388</v>
      </c>
    </row>
    <row r="837" spans="1:8" ht="23.1" thickBot="1" x14ac:dyDescent="0.6">
      <c r="A837" s="44"/>
      <c r="B837" s="37"/>
      <c r="C837" s="35" t="s">
        <v>6792</v>
      </c>
      <c r="D837" s="35" t="s">
        <v>7566</v>
      </c>
      <c r="E837" s="35" t="s">
        <v>2389</v>
      </c>
      <c r="F837" s="36">
        <v>0</v>
      </c>
      <c r="G837" s="35" t="s">
        <v>2390</v>
      </c>
      <c r="H837" s="35" t="s">
        <v>2392</v>
      </c>
    </row>
    <row r="838" spans="1:8" ht="23.1" thickBot="1" x14ac:dyDescent="0.6">
      <c r="A838" s="44" t="s">
        <v>7567</v>
      </c>
      <c r="B838" s="37" t="s">
        <v>6660</v>
      </c>
      <c r="C838" s="35" t="s">
        <v>6764</v>
      </c>
      <c r="D838" s="35" t="s">
        <v>7568</v>
      </c>
      <c r="E838" s="35" t="s">
        <v>2389</v>
      </c>
      <c r="F838" s="36">
        <v>0</v>
      </c>
      <c r="G838" s="35" t="s">
        <v>2390</v>
      </c>
      <c r="H838" s="35" t="s">
        <v>2392</v>
      </c>
    </row>
    <row r="839" spans="1:8" ht="23.1" thickBot="1" x14ac:dyDescent="0.6">
      <c r="A839" s="44"/>
      <c r="B839" s="37"/>
      <c r="C839" s="35" t="s">
        <v>6760</v>
      </c>
      <c r="D839" s="35" t="s">
        <v>7569</v>
      </c>
      <c r="E839" s="35" t="s">
        <v>2393</v>
      </c>
      <c r="F839" s="36">
        <v>0</v>
      </c>
      <c r="G839" s="35" t="s">
        <v>2394</v>
      </c>
      <c r="H839" s="35" t="s">
        <v>2396</v>
      </c>
    </row>
    <row r="840" spans="1:8" ht="23.1" thickBot="1" x14ac:dyDescent="0.6">
      <c r="A840" s="44"/>
      <c r="B840" s="37"/>
      <c r="C840" s="35" t="s">
        <v>6761</v>
      </c>
      <c r="D840" s="35" t="s">
        <v>7570</v>
      </c>
      <c r="E840" s="35" t="s">
        <v>2393</v>
      </c>
      <c r="F840" s="36">
        <v>0</v>
      </c>
      <c r="G840" s="35" t="s">
        <v>2394</v>
      </c>
      <c r="H840" s="35" t="s">
        <v>2396</v>
      </c>
    </row>
    <row r="841" spans="1:8" ht="23.1" thickBot="1" x14ac:dyDescent="0.6">
      <c r="A841" s="44" t="s">
        <v>7571</v>
      </c>
      <c r="B841" s="37" t="s">
        <v>6512</v>
      </c>
      <c r="C841" s="35" t="s">
        <v>6792</v>
      </c>
      <c r="D841" s="35" t="s">
        <v>7572</v>
      </c>
      <c r="E841" s="35" t="s">
        <v>2397</v>
      </c>
      <c r="F841" s="36">
        <v>0</v>
      </c>
      <c r="G841" s="35" t="s">
        <v>2398</v>
      </c>
      <c r="H841" s="35" t="s">
        <v>2400</v>
      </c>
    </row>
    <row r="842" spans="1:8" ht="23.1" thickBot="1" x14ac:dyDescent="0.6">
      <c r="A842" s="44"/>
      <c r="B842" s="37"/>
      <c r="C842" s="35"/>
      <c r="D842" s="35"/>
      <c r="E842" s="35" t="s">
        <v>2401</v>
      </c>
      <c r="F842" s="36">
        <v>0</v>
      </c>
      <c r="G842" s="35" t="s">
        <v>2402</v>
      </c>
      <c r="H842" s="35" t="s">
        <v>2404</v>
      </c>
    </row>
    <row r="843" spans="1:8" ht="23.1" thickBot="1" x14ac:dyDescent="0.6">
      <c r="A843" s="44"/>
      <c r="B843" s="37"/>
      <c r="C843" s="35" t="s">
        <v>6801</v>
      </c>
      <c r="D843" s="35" t="s">
        <v>7573</v>
      </c>
      <c r="E843" s="35" t="s">
        <v>2405</v>
      </c>
      <c r="F843" s="36">
        <v>0</v>
      </c>
      <c r="G843" s="35" t="s">
        <v>2406</v>
      </c>
      <c r="H843" s="35" t="s">
        <v>2408</v>
      </c>
    </row>
    <row r="844" spans="1:8" ht="23.1" thickBot="1" x14ac:dyDescent="0.6">
      <c r="A844" s="44"/>
      <c r="B844" s="37"/>
      <c r="C844" s="35" t="s">
        <v>6801</v>
      </c>
      <c r="D844" s="35" t="s">
        <v>7574</v>
      </c>
      <c r="E844" s="35" t="s">
        <v>2409</v>
      </c>
      <c r="F844" s="36">
        <v>0</v>
      </c>
      <c r="G844" s="35" t="s">
        <v>2410</v>
      </c>
      <c r="H844" s="35" t="s">
        <v>2412</v>
      </c>
    </row>
    <row r="845" spans="1:8" ht="23.1" thickBot="1" x14ac:dyDescent="0.6">
      <c r="A845" s="44"/>
      <c r="B845" s="37"/>
      <c r="C845" s="35" t="s">
        <v>6761</v>
      </c>
      <c r="D845" s="35" t="s">
        <v>7575</v>
      </c>
      <c r="E845" s="35" t="s">
        <v>2413</v>
      </c>
      <c r="F845" s="36">
        <v>0</v>
      </c>
      <c r="G845" s="35" t="s">
        <v>2414</v>
      </c>
      <c r="H845" s="35" t="s">
        <v>2416</v>
      </c>
    </row>
    <row r="846" spans="1:8" ht="23.1" thickBot="1" x14ac:dyDescent="0.6">
      <c r="A846" s="44"/>
      <c r="B846" s="37"/>
      <c r="C846" s="35" t="s">
        <v>6760</v>
      </c>
      <c r="D846" s="35" t="s">
        <v>7576</v>
      </c>
      <c r="E846" s="35" t="s">
        <v>2417</v>
      </c>
      <c r="F846" s="36">
        <v>0</v>
      </c>
      <c r="G846" s="35" t="s">
        <v>2418</v>
      </c>
      <c r="H846" s="35" t="s">
        <v>2420</v>
      </c>
    </row>
    <row r="847" spans="1:8" ht="23.1" thickBot="1" x14ac:dyDescent="0.6">
      <c r="A847" s="44"/>
      <c r="B847" s="37"/>
      <c r="C847" s="35"/>
      <c r="D847" s="35"/>
      <c r="E847" s="35" t="s">
        <v>2421</v>
      </c>
      <c r="F847" s="36">
        <v>0</v>
      </c>
      <c r="G847" s="35" t="s">
        <v>2422</v>
      </c>
      <c r="H847" s="35" t="s">
        <v>2424</v>
      </c>
    </row>
    <row r="848" spans="1:8" ht="23.1" thickBot="1" x14ac:dyDescent="0.6">
      <c r="A848" s="44"/>
      <c r="B848" s="37"/>
      <c r="C848" s="35"/>
      <c r="D848" s="35"/>
      <c r="E848" s="35" t="s">
        <v>2425</v>
      </c>
      <c r="F848" s="36">
        <v>0</v>
      </c>
      <c r="G848" s="35" t="s">
        <v>2426</v>
      </c>
      <c r="H848" s="35" t="s">
        <v>2428</v>
      </c>
    </row>
    <row r="849" spans="1:8" ht="23.1" thickBot="1" x14ac:dyDescent="0.6">
      <c r="A849" s="44"/>
      <c r="B849" s="37"/>
      <c r="C849" s="35"/>
      <c r="D849" s="35"/>
      <c r="E849" s="35" t="s">
        <v>2429</v>
      </c>
      <c r="F849" s="36">
        <v>0</v>
      </c>
      <c r="G849" s="35" t="s">
        <v>2430</v>
      </c>
      <c r="H849" s="35" t="s">
        <v>2432</v>
      </c>
    </row>
    <row r="850" spans="1:8" ht="23.1" thickBot="1" x14ac:dyDescent="0.6">
      <c r="A850" s="44"/>
      <c r="B850" s="37"/>
      <c r="C850" s="35"/>
      <c r="D850" s="35"/>
      <c r="E850" s="35" t="s">
        <v>2433</v>
      </c>
      <c r="F850" s="36">
        <v>0</v>
      </c>
      <c r="G850" s="35" t="s">
        <v>2434</v>
      </c>
      <c r="H850" s="35" t="s">
        <v>2436</v>
      </c>
    </row>
    <row r="851" spans="1:8" ht="23.1" thickBot="1" x14ac:dyDescent="0.6">
      <c r="A851" s="44"/>
      <c r="B851" s="37"/>
      <c r="C851" s="35"/>
      <c r="D851" s="35"/>
      <c r="E851" s="35" t="s">
        <v>2437</v>
      </c>
      <c r="F851" s="36">
        <v>0</v>
      </c>
      <c r="G851" s="35" t="s">
        <v>2438</v>
      </c>
      <c r="H851" s="35" t="s">
        <v>2440</v>
      </c>
    </row>
    <row r="852" spans="1:8" ht="23.1" thickBot="1" x14ac:dyDescent="0.6">
      <c r="A852" s="44"/>
      <c r="B852" s="37"/>
      <c r="C852" s="35"/>
      <c r="D852" s="35"/>
      <c r="E852" s="35" t="s">
        <v>2441</v>
      </c>
      <c r="F852" s="36">
        <v>0</v>
      </c>
      <c r="G852" s="35" t="s">
        <v>2442</v>
      </c>
      <c r="H852" s="35" t="s">
        <v>2444</v>
      </c>
    </row>
    <row r="853" spans="1:8" ht="23.1" thickBot="1" x14ac:dyDescent="0.6">
      <c r="A853" s="44"/>
      <c r="B853" s="37"/>
      <c r="C853" s="35" t="s">
        <v>6777</v>
      </c>
      <c r="D853" s="35" t="s">
        <v>7577</v>
      </c>
      <c r="E853" s="35" t="s">
        <v>2445</v>
      </c>
      <c r="F853" s="36">
        <v>0</v>
      </c>
      <c r="G853" s="35" t="s">
        <v>2446</v>
      </c>
      <c r="H853" s="35" t="s">
        <v>2448</v>
      </c>
    </row>
    <row r="854" spans="1:8" ht="23.1" thickBot="1" x14ac:dyDescent="0.6">
      <c r="A854" s="44"/>
      <c r="B854" s="37"/>
      <c r="C854" s="35" t="s">
        <v>6760</v>
      </c>
      <c r="D854" s="35" t="s">
        <v>7578</v>
      </c>
      <c r="E854" s="35" t="s">
        <v>2450</v>
      </c>
      <c r="F854" s="36">
        <v>0</v>
      </c>
      <c r="G854" s="35" t="s">
        <v>2451</v>
      </c>
      <c r="H854" s="35" t="s">
        <v>2453</v>
      </c>
    </row>
    <row r="855" spans="1:8" ht="23.1" thickBot="1" x14ac:dyDescent="0.6">
      <c r="A855" s="44"/>
      <c r="B855" s="37"/>
      <c r="C855" s="35" t="s">
        <v>6761</v>
      </c>
      <c r="D855" s="35" t="s">
        <v>7579</v>
      </c>
      <c r="E855" s="35" t="s">
        <v>2450</v>
      </c>
      <c r="F855" s="36">
        <v>0</v>
      </c>
      <c r="G855" s="35" t="s">
        <v>2451</v>
      </c>
      <c r="H855" s="35" t="s">
        <v>2453</v>
      </c>
    </row>
    <row r="856" spans="1:8" ht="23.1" thickBot="1" x14ac:dyDescent="0.6">
      <c r="A856" s="44"/>
      <c r="B856" s="37"/>
      <c r="C856" s="35"/>
      <c r="D856" s="35"/>
      <c r="E856" s="35" t="s">
        <v>2454</v>
      </c>
      <c r="F856" s="36">
        <v>0</v>
      </c>
      <c r="G856" s="35" t="s">
        <v>2449</v>
      </c>
      <c r="H856" s="35" t="s">
        <v>2456</v>
      </c>
    </row>
    <row r="857" spans="1:8" ht="34.5" thickBot="1" x14ac:dyDescent="0.6">
      <c r="A857" s="44"/>
      <c r="B857" s="37"/>
      <c r="C857" s="35"/>
      <c r="D857" s="35"/>
      <c r="E857" s="35" t="s">
        <v>2457</v>
      </c>
      <c r="F857" s="36">
        <v>0</v>
      </c>
      <c r="G857" s="35" t="s">
        <v>2458</v>
      </c>
      <c r="H857" s="35" t="s">
        <v>2460</v>
      </c>
    </row>
    <row r="858" spans="1:8" ht="23.1" thickBot="1" x14ac:dyDescent="0.6">
      <c r="A858" s="44"/>
      <c r="B858" s="37"/>
      <c r="C858" s="35" t="s">
        <v>6760</v>
      </c>
      <c r="D858" s="35" t="s">
        <v>7580</v>
      </c>
      <c r="E858" s="35" t="s">
        <v>2461</v>
      </c>
      <c r="F858" s="36">
        <v>0</v>
      </c>
      <c r="G858" s="35" t="s">
        <v>2462</v>
      </c>
      <c r="H858" s="35" t="s">
        <v>2464</v>
      </c>
    </row>
    <row r="859" spans="1:8" ht="23.1" thickBot="1" x14ac:dyDescent="0.6">
      <c r="A859" s="44"/>
      <c r="B859" s="37"/>
      <c r="C859" s="35"/>
      <c r="D859" s="35"/>
      <c r="E859" s="35" t="s">
        <v>2465</v>
      </c>
      <c r="F859" s="36">
        <v>0</v>
      </c>
      <c r="G859" s="35" t="s">
        <v>2466</v>
      </c>
      <c r="H859" s="35" t="s">
        <v>2468</v>
      </c>
    </row>
    <row r="860" spans="1:8" ht="23.1" thickBot="1" x14ac:dyDescent="0.6">
      <c r="A860" s="44"/>
      <c r="B860" s="37"/>
      <c r="C860" s="35" t="s">
        <v>6801</v>
      </c>
      <c r="D860" s="35" t="s">
        <v>7581</v>
      </c>
      <c r="E860" s="35" t="s">
        <v>2469</v>
      </c>
      <c r="F860" s="36">
        <v>0</v>
      </c>
      <c r="G860" s="35" t="s">
        <v>2470</v>
      </c>
      <c r="H860" s="35" t="s">
        <v>2472</v>
      </c>
    </row>
    <row r="861" spans="1:8" ht="23.1" thickBot="1" x14ac:dyDescent="0.6">
      <c r="A861" s="44"/>
      <c r="B861" s="37"/>
      <c r="C861" s="35" t="s">
        <v>6760</v>
      </c>
      <c r="D861" s="35" t="s">
        <v>7582</v>
      </c>
      <c r="E861" s="35" t="s">
        <v>2469</v>
      </c>
      <c r="F861" s="36">
        <v>0</v>
      </c>
      <c r="G861" s="35" t="s">
        <v>2470</v>
      </c>
      <c r="H861" s="35" t="s">
        <v>2472</v>
      </c>
    </row>
    <row r="862" spans="1:8" ht="23.1" thickBot="1" x14ac:dyDescent="0.6">
      <c r="A862" s="44"/>
      <c r="B862" s="37"/>
      <c r="C862" s="35" t="s">
        <v>6761</v>
      </c>
      <c r="D862" s="35" t="s">
        <v>7583</v>
      </c>
      <c r="E862" s="35" t="s">
        <v>2469</v>
      </c>
      <c r="F862" s="36">
        <v>0</v>
      </c>
      <c r="G862" s="35" t="s">
        <v>2470</v>
      </c>
      <c r="H862" s="35" t="s">
        <v>2472</v>
      </c>
    </row>
    <row r="863" spans="1:8" ht="34.5" thickBot="1" x14ac:dyDescent="0.6">
      <c r="A863" s="44"/>
      <c r="B863" s="37"/>
      <c r="C863" s="35"/>
      <c r="D863" s="35"/>
      <c r="E863" s="35" t="s">
        <v>2473</v>
      </c>
      <c r="F863" s="36">
        <v>0</v>
      </c>
      <c r="G863" s="35" t="s">
        <v>2474</v>
      </c>
      <c r="H863" s="35" t="s">
        <v>2476</v>
      </c>
    </row>
    <row r="864" spans="1:8" ht="23.1" thickBot="1" x14ac:dyDescent="0.6">
      <c r="A864" s="44"/>
      <c r="B864" s="37"/>
      <c r="C864" s="35"/>
      <c r="D864" s="35"/>
      <c r="E864" s="35" t="s">
        <v>2477</v>
      </c>
      <c r="F864" s="36">
        <v>0</v>
      </c>
      <c r="G864" s="35" t="s">
        <v>2478</v>
      </c>
      <c r="H864" s="35" t="s">
        <v>2480</v>
      </c>
    </row>
    <row r="865" spans="1:8" ht="23.1" thickBot="1" x14ac:dyDescent="0.6">
      <c r="A865" s="44"/>
      <c r="B865" s="37"/>
      <c r="C865" s="35" t="s">
        <v>6760</v>
      </c>
      <c r="D865" s="35" t="s">
        <v>7584</v>
      </c>
      <c r="E865" s="35" t="s">
        <v>2481</v>
      </c>
      <c r="F865" s="36">
        <v>0</v>
      </c>
      <c r="G865" s="35" t="s">
        <v>2482</v>
      </c>
      <c r="H865" s="35" t="s">
        <v>2484</v>
      </c>
    </row>
    <row r="866" spans="1:8" ht="23.1" thickBot="1" x14ac:dyDescent="0.6">
      <c r="A866" s="44"/>
      <c r="B866" s="37"/>
      <c r="C866" s="35"/>
      <c r="D866" s="35"/>
      <c r="E866" s="35" t="s">
        <v>2485</v>
      </c>
      <c r="F866" s="36">
        <v>0</v>
      </c>
      <c r="G866" s="35" t="s">
        <v>2486</v>
      </c>
      <c r="H866" s="35" t="s">
        <v>2488</v>
      </c>
    </row>
    <row r="867" spans="1:8" ht="23.1" thickBot="1" x14ac:dyDescent="0.6">
      <c r="A867" s="44"/>
      <c r="B867" s="37"/>
      <c r="C867" s="35"/>
      <c r="D867" s="35"/>
      <c r="E867" s="35" t="s">
        <v>2489</v>
      </c>
      <c r="F867" s="36">
        <v>0</v>
      </c>
      <c r="G867" s="35" t="s">
        <v>1274</v>
      </c>
      <c r="H867" s="35" t="s">
        <v>2491</v>
      </c>
    </row>
    <row r="868" spans="1:8" ht="23.1" thickBot="1" x14ac:dyDescent="0.6">
      <c r="A868" s="44" t="s">
        <v>7585</v>
      </c>
      <c r="B868" s="37" t="s">
        <v>6364</v>
      </c>
      <c r="C868" s="35" t="s">
        <v>6763</v>
      </c>
      <c r="D868" s="35" t="s">
        <v>7586</v>
      </c>
      <c r="E868" s="35" t="s">
        <v>2492</v>
      </c>
      <c r="F868" s="36">
        <v>0</v>
      </c>
      <c r="G868" s="35" t="s">
        <v>2493</v>
      </c>
      <c r="H868" s="35" t="s">
        <v>2495</v>
      </c>
    </row>
    <row r="869" spans="1:8" ht="23.1" thickBot="1" x14ac:dyDescent="0.6">
      <c r="A869" s="44"/>
      <c r="B869" s="37"/>
      <c r="C869" s="35" t="s">
        <v>6764</v>
      </c>
      <c r="D869" s="35" t="s">
        <v>7587</v>
      </c>
      <c r="E869" s="35" t="s">
        <v>2492</v>
      </c>
      <c r="F869" s="36">
        <v>0</v>
      </c>
      <c r="G869" s="35" t="s">
        <v>2493</v>
      </c>
      <c r="H869" s="35" t="s">
        <v>2495</v>
      </c>
    </row>
    <row r="870" spans="1:8" ht="23.1" thickBot="1" x14ac:dyDescent="0.6">
      <c r="A870" s="44"/>
      <c r="B870" s="37"/>
      <c r="C870" s="35"/>
      <c r="D870" s="35"/>
      <c r="E870" s="35" t="s">
        <v>2496</v>
      </c>
      <c r="F870" s="36">
        <v>0</v>
      </c>
      <c r="G870" s="35" t="s">
        <v>2497</v>
      </c>
      <c r="H870" s="35" t="s">
        <v>2499</v>
      </c>
    </row>
    <row r="871" spans="1:8" ht="23.1" thickBot="1" x14ac:dyDescent="0.6">
      <c r="A871" s="44" t="s">
        <v>7588</v>
      </c>
      <c r="B871" s="37" t="s">
        <v>6610</v>
      </c>
      <c r="C871" s="35" t="s">
        <v>6792</v>
      </c>
      <c r="D871" s="35" t="s">
        <v>7589</v>
      </c>
      <c r="E871" s="35" t="s">
        <v>2500</v>
      </c>
      <c r="F871" s="36">
        <v>0</v>
      </c>
      <c r="G871" s="35" t="s">
        <v>2501</v>
      </c>
      <c r="H871" s="35" t="s">
        <v>2503</v>
      </c>
    </row>
    <row r="872" spans="1:8" ht="23.1" thickBot="1" x14ac:dyDescent="0.6">
      <c r="A872" s="44" t="s">
        <v>7590</v>
      </c>
      <c r="B872" s="37" t="s">
        <v>6379</v>
      </c>
      <c r="C872" s="35" t="s">
        <v>6781</v>
      </c>
      <c r="D872" s="35" t="s">
        <v>7591</v>
      </c>
      <c r="E872" s="35" t="s">
        <v>2504</v>
      </c>
      <c r="F872" s="36">
        <v>0</v>
      </c>
      <c r="G872" s="35" t="s">
        <v>2505</v>
      </c>
      <c r="H872" s="35" t="s">
        <v>2507</v>
      </c>
    </row>
    <row r="873" spans="1:8" ht="23.1" thickBot="1" x14ac:dyDescent="0.6">
      <c r="A873" s="44" t="s">
        <v>7592</v>
      </c>
      <c r="B873" s="37" t="s">
        <v>6580</v>
      </c>
      <c r="C873" s="35" t="s">
        <v>6775</v>
      </c>
      <c r="D873" s="35" t="s">
        <v>7593</v>
      </c>
      <c r="E873" s="35" t="s">
        <v>2508</v>
      </c>
      <c r="F873" s="36">
        <v>0</v>
      </c>
      <c r="G873" s="35" t="s">
        <v>2509</v>
      </c>
      <c r="H873" s="35" t="s">
        <v>2511</v>
      </c>
    </row>
    <row r="874" spans="1:8" ht="23.1" thickBot="1" x14ac:dyDescent="0.6">
      <c r="A874" s="44"/>
      <c r="B874" s="37"/>
      <c r="C874" s="35" t="s">
        <v>6809</v>
      </c>
      <c r="D874" s="35" t="s">
        <v>7594</v>
      </c>
      <c r="E874" s="35" t="s">
        <v>2508</v>
      </c>
      <c r="F874" s="36">
        <v>0</v>
      </c>
      <c r="G874" s="35" t="s">
        <v>2509</v>
      </c>
      <c r="H874" s="35" t="s">
        <v>2511</v>
      </c>
    </row>
    <row r="875" spans="1:8" ht="23.1" thickBot="1" x14ac:dyDescent="0.6">
      <c r="A875" s="44" t="s">
        <v>7595</v>
      </c>
      <c r="B875" s="37" t="s">
        <v>6446</v>
      </c>
      <c r="C875" s="35" t="s">
        <v>6763</v>
      </c>
      <c r="D875" s="35" t="s">
        <v>7596</v>
      </c>
      <c r="E875" s="35" t="s">
        <v>2512</v>
      </c>
      <c r="F875" s="36">
        <v>0</v>
      </c>
      <c r="G875" s="35" t="s">
        <v>2513</v>
      </c>
      <c r="H875" s="35" t="s">
        <v>2515</v>
      </c>
    </row>
    <row r="876" spans="1:8" ht="23.1" thickBot="1" x14ac:dyDescent="0.6">
      <c r="A876" s="44"/>
      <c r="B876" s="37"/>
      <c r="C876" s="35" t="s">
        <v>6764</v>
      </c>
      <c r="D876" s="35" t="s">
        <v>7597</v>
      </c>
      <c r="E876" s="35" t="s">
        <v>2512</v>
      </c>
      <c r="F876" s="36">
        <v>0</v>
      </c>
      <c r="G876" s="35" t="s">
        <v>2513</v>
      </c>
      <c r="H876" s="35" t="s">
        <v>2515</v>
      </c>
    </row>
    <row r="877" spans="1:8" ht="23.1" thickBot="1" x14ac:dyDescent="0.6">
      <c r="A877" s="44" t="s">
        <v>7598</v>
      </c>
      <c r="B877" s="37" t="s">
        <v>6730</v>
      </c>
      <c r="C877" s="35" t="s">
        <v>6744</v>
      </c>
      <c r="D877" s="35" t="s">
        <v>7599</v>
      </c>
      <c r="E877" s="35" t="s">
        <v>2516</v>
      </c>
      <c r="F877" s="36">
        <v>0</v>
      </c>
      <c r="G877" s="35" t="s">
        <v>2517</v>
      </c>
      <c r="H877" s="35" t="s">
        <v>2519</v>
      </c>
    </row>
    <row r="878" spans="1:8" ht="23.1" thickBot="1" x14ac:dyDescent="0.6">
      <c r="A878" s="44"/>
      <c r="B878" s="37"/>
      <c r="C878" s="35"/>
      <c r="D878" s="35"/>
      <c r="E878" s="35" t="s">
        <v>2520</v>
      </c>
      <c r="F878" s="36">
        <v>0</v>
      </c>
      <c r="G878" s="35" t="s">
        <v>2521</v>
      </c>
      <c r="H878" s="35" t="s">
        <v>2523</v>
      </c>
    </row>
    <row r="879" spans="1:8" ht="23.1" thickBot="1" x14ac:dyDescent="0.6">
      <c r="A879" s="44"/>
      <c r="B879" s="37"/>
      <c r="C879" s="35" t="s">
        <v>6761</v>
      </c>
      <c r="D879" s="35" t="s">
        <v>7600</v>
      </c>
      <c r="E879" s="35" t="s">
        <v>2524</v>
      </c>
      <c r="F879" s="36">
        <v>0</v>
      </c>
      <c r="G879" s="35" t="s">
        <v>2525</v>
      </c>
      <c r="H879" s="35" t="s">
        <v>2527</v>
      </c>
    </row>
    <row r="880" spans="1:8" ht="23.1" thickBot="1" x14ac:dyDescent="0.6">
      <c r="A880" s="44" t="s">
        <v>7601</v>
      </c>
      <c r="B880" s="37" t="s">
        <v>6469</v>
      </c>
      <c r="C880" s="35" t="s">
        <v>6773</v>
      </c>
      <c r="D880" s="35" t="s">
        <v>7602</v>
      </c>
      <c r="E880" s="35" t="s">
        <v>2528</v>
      </c>
      <c r="F880" s="36">
        <v>0</v>
      </c>
      <c r="G880" s="35" t="s">
        <v>2529</v>
      </c>
      <c r="H880" s="35" t="s">
        <v>2531</v>
      </c>
    </row>
    <row r="881" spans="1:8" ht="23.1" thickBot="1" x14ac:dyDescent="0.6">
      <c r="A881" s="44"/>
      <c r="B881" s="37"/>
      <c r="C881" s="35" t="s">
        <v>6774</v>
      </c>
      <c r="D881" s="35" t="s">
        <v>7603</v>
      </c>
      <c r="E881" s="35" t="s">
        <v>2528</v>
      </c>
      <c r="F881" s="36">
        <v>0</v>
      </c>
      <c r="G881" s="35" t="s">
        <v>2529</v>
      </c>
      <c r="H881" s="35" t="s">
        <v>2531</v>
      </c>
    </row>
    <row r="882" spans="1:8" ht="23.1" thickBot="1" x14ac:dyDescent="0.6">
      <c r="A882" s="44"/>
      <c r="B882" s="37"/>
      <c r="C882" s="35"/>
      <c r="D882" s="35"/>
      <c r="E882" s="35" t="s">
        <v>2532</v>
      </c>
      <c r="F882" s="36">
        <v>0</v>
      </c>
      <c r="G882" s="35" t="s">
        <v>2533</v>
      </c>
      <c r="H882" s="35" t="s">
        <v>2535</v>
      </c>
    </row>
    <row r="883" spans="1:8" ht="23.1" thickBot="1" x14ac:dyDescent="0.6">
      <c r="A883" s="44" t="s">
        <v>7604</v>
      </c>
      <c r="B883" s="37" t="s">
        <v>6728</v>
      </c>
      <c r="C883" s="35" t="s">
        <v>6763</v>
      </c>
      <c r="D883" s="35" t="s">
        <v>7605</v>
      </c>
      <c r="E883" s="35" t="s">
        <v>2536</v>
      </c>
      <c r="F883" s="36">
        <v>0</v>
      </c>
      <c r="G883" s="35" t="s">
        <v>2537</v>
      </c>
      <c r="H883" s="35" t="s">
        <v>2539</v>
      </c>
    </row>
    <row r="884" spans="1:8" ht="23.1" thickBot="1" x14ac:dyDescent="0.6">
      <c r="A884" s="44" t="s">
        <v>7606</v>
      </c>
      <c r="B884" s="37" t="s">
        <v>6477</v>
      </c>
      <c r="C884" s="35" t="s">
        <v>6766</v>
      </c>
      <c r="D884" s="35" t="s">
        <v>7607</v>
      </c>
      <c r="E884" s="35" t="s">
        <v>2540</v>
      </c>
      <c r="F884" s="36">
        <v>0</v>
      </c>
      <c r="G884" s="35" t="s">
        <v>2541</v>
      </c>
      <c r="H884" s="35" t="s">
        <v>2543</v>
      </c>
    </row>
    <row r="885" spans="1:8" ht="23.1" thickBot="1" x14ac:dyDescent="0.6">
      <c r="A885" s="44"/>
      <c r="B885" s="37"/>
      <c r="C885" s="35" t="s">
        <v>6783</v>
      </c>
      <c r="D885" s="35" t="s">
        <v>7608</v>
      </c>
      <c r="E885" s="35" t="s">
        <v>2540</v>
      </c>
      <c r="F885" s="36">
        <v>0</v>
      </c>
      <c r="G885" s="35" t="s">
        <v>2541</v>
      </c>
      <c r="H885" s="35" t="s">
        <v>2543</v>
      </c>
    </row>
    <row r="886" spans="1:8" ht="23.1" thickBot="1" x14ac:dyDescent="0.6">
      <c r="A886" s="44"/>
      <c r="B886" s="37"/>
      <c r="C886" s="35" t="s">
        <v>6767</v>
      </c>
      <c r="D886" s="35" t="s">
        <v>7609</v>
      </c>
      <c r="E886" s="35" t="s">
        <v>2540</v>
      </c>
      <c r="F886" s="36">
        <v>0</v>
      </c>
      <c r="G886" s="35" t="s">
        <v>2541</v>
      </c>
      <c r="H886" s="35" t="s">
        <v>2543</v>
      </c>
    </row>
    <row r="887" spans="1:8" ht="23.1" thickBot="1" x14ac:dyDescent="0.6">
      <c r="A887" s="44" t="s">
        <v>7610</v>
      </c>
      <c r="B887" s="37" t="s">
        <v>6483</v>
      </c>
      <c r="C887" s="35" t="s">
        <v>6768</v>
      </c>
      <c r="D887" s="35" t="s">
        <v>7611</v>
      </c>
      <c r="E887" s="35" t="s">
        <v>2544</v>
      </c>
      <c r="F887" s="36">
        <v>0</v>
      </c>
      <c r="G887" s="35" t="s">
        <v>2545</v>
      </c>
      <c r="H887" s="35" t="s">
        <v>2547</v>
      </c>
    </row>
    <row r="888" spans="1:8" ht="23.1" thickBot="1" x14ac:dyDescent="0.6">
      <c r="A888" s="44"/>
      <c r="B888" s="37"/>
      <c r="C888" s="35" t="s">
        <v>6769</v>
      </c>
      <c r="D888" s="35" t="s">
        <v>7612</v>
      </c>
      <c r="E888" s="35" t="s">
        <v>2544</v>
      </c>
      <c r="F888" s="36">
        <v>0</v>
      </c>
      <c r="G888" s="35" t="s">
        <v>2545</v>
      </c>
      <c r="H888" s="35" t="s">
        <v>2547</v>
      </c>
    </row>
    <row r="889" spans="1:8" ht="23.1" thickBot="1" x14ac:dyDescent="0.6">
      <c r="A889" s="44" t="s">
        <v>7613</v>
      </c>
      <c r="B889" s="37" t="s">
        <v>6513</v>
      </c>
      <c r="C889" s="35" t="s">
        <v>6781</v>
      </c>
      <c r="D889" s="35" t="s">
        <v>7614</v>
      </c>
      <c r="E889" s="35" t="s">
        <v>2548</v>
      </c>
      <c r="F889" s="36">
        <v>0</v>
      </c>
      <c r="G889" s="35" t="s">
        <v>2549</v>
      </c>
      <c r="H889" s="35" t="s">
        <v>2551</v>
      </c>
    </row>
    <row r="890" spans="1:8" ht="23.1" thickBot="1" x14ac:dyDescent="0.6">
      <c r="A890" s="44"/>
      <c r="B890" s="37"/>
      <c r="C890" s="35"/>
      <c r="D890" s="35"/>
      <c r="E890" s="35" t="s">
        <v>2552</v>
      </c>
      <c r="F890" s="36">
        <v>0</v>
      </c>
      <c r="G890" s="35" t="s">
        <v>2553</v>
      </c>
      <c r="H890" s="35" t="s">
        <v>2555</v>
      </c>
    </row>
    <row r="891" spans="1:8" ht="23.1" thickBot="1" x14ac:dyDescent="0.6">
      <c r="A891" s="44"/>
      <c r="B891" s="37"/>
      <c r="C891" s="35"/>
      <c r="D891" s="35"/>
      <c r="E891" s="35" t="s">
        <v>2556</v>
      </c>
      <c r="F891" s="36">
        <v>0</v>
      </c>
      <c r="G891" s="35" t="s">
        <v>2557</v>
      </c>
      <c r="H891" s="35" t="s">
        <v>2559</v>
      </c>
    </row>
    <row r="892" spans="1:8" ht="23.1" thickBot="1" x14ac:dyDescent="0.6">
      <c r="A892" s="44" t="s">
        <v>7615</v>
      </c>
      <c r="B892" s="37" t="s">
        <v>6525</v>
      </c>
      <c r="C892" s="35" t="s">
        <v>6792</v>
      </c>
      <c r="D892" s="35" t="s">
        <v>7616</v>
      </c>
      <c r="E892" s="35" t="s">
        <v>2560</v>
      </c>
      <c r="F892" s="36">
        <v>0</v>
      </c>
      <c r="G892" s="35" t="s">
        <v>2561</v>
      </c>
      <c r="H892" s="35" t="s">
        <v>2563</v>
      </c>
    </row>
    <row r="893" spans="1:8" ht="23.1" thickBot="1" x14ac:dyDescent="0.6">
      <c r="A893" s="44"/>
      <c r="B893" s="37"/>
      <c r="C893" s="35" t="s">
        <v>6764</v>
      </c>
      <c r="D893" s="35" t="s">
        <v>7617</v>
      </c>
      <c r="E893" s="35" t="s">
        <v>2560</v>
      </c>
      <c r="F893" s="36">
        <v>0</v>
      </c>
      <c r="G893" s="35" t="s">
        <v>2561</v>
      </c>
      <c r="H893" s="35" t="s">
        <v>2563</v>
      </c>
    </row>
    <row r="894" spans="1:8" ht="23.1" thickBot="1" x14ac:dyDescent="0.6">
      <c r="A894" s="44" t="s">
        <v>7618</v>
      </c>
      <c r="B894" s="37" t="s">
        <v>6535</v>
      </c>
      <c r="C894" s="35" t="s">
        <v>6764</v>
      </c>
      <c r="D894" s="35" t="s">
        <v>7619</v>
      </c>
      <c r="E894" s="35" t="s">
        <v>2564</v>
      </c>
      <c r="F894" s="36">
        <v>0</v>
      </c>
      <c r="G894" s="35" t="s">
        <v>2565</v>
      </c>
      <c r="H894" s="35" t="s">
        <v>2567</v>
      </c>
    </row>
    <row r="895" spans="1:8" ht="23.1" thickBot="1" x14ac:dyDescent="0.6">
      <c r="A895" s="44"/>
      <c r="B895" s="37"/>
      <c r="C895" s="35"/>
      <c r="D895" s="35"/>
      <c r="E895" s="35" t="s">
        <v>2568</v>
      </c>
      <c r="F895" s="36">
        <v>0</v>
      </c>
      <c r="G895" s="35" t="s">
        <v>2569</v>
      </c>
      <c r="H895" s="35" t="s">
        <v>2571</v>
      </c>
    </row>
    <row r="896" spans="1:8" ht="23.1" thickBot="1" x14ac:dyDescent="0.6">
      <c r="A896" s="44"/>
      <c r="B896" s="37"/>
      <c r="C896" s="35"/>
      <c r="D896" s="35"/>
      <c r="E896" s="35" t="s">
        <v>2572</v>
      </c>
      <c r="F896" s="36">
        <v>0</v>
      </c>
      <c r="G896" s="35" t="s">
        <v>2573</v>
      </c>
      <c r="H896" s="35" t="s">
        <v>2575</v>
      </c>
    </row>
    <row r="897" spans="1:8" ht="23.1" thickBot="1" x14ac:dyDescent="0.6">
      <c r="A897" s="44" t="s">
        <v>7620</v>
      </c>
      <c r="B897" s="37" t="s">
        <v>6570</v>
      </c>
      <c r="C897" s="35" t="s">
        <v>6763</v>
      </c>
      <c r="D897" s="35" t="s">
        <v>7621</v>
      </c>
      <c r="E897" s="35" t="s">
        <v>2576</v>
      </c>
      <c r="F897" s="36">
        <v>0</v>
      </c>
      <c r="G897" s="35" t="s">
        <v>2577</v>
      </c>
      <c r="H897" s="35" t="s">
        <v>2579</v>
      </c>
    </row>
    <row r="898" spans="1:8" ht="23.1" thickBot="1" x14ac:dyDescent="0.6">
      <c r="A898" s="44"/>
      <c r="B898" s="37"/>
      <c r="C898" s="35" t="s">
        <v>6764</v>
      </c>
      <c r="D898" s="35" t="s">
        <v>7622</v>
      </c>
      <c r="E898" s="35" t="s">
        <v>2576</v>
      </c>
      <c r="F898" s="36">
        <v>0</v>
      </c>
      <c r="G898" s="35" t="s">
        <v>2577</v>
      </c>
      <c r="H898" s="35" t="s">
        <v>2579</v>
      </c>
    </row>
    <row r="899" spans="1:8" ht="23.1" thickBot="1" x14ac:dyDescent="0.6">
      <c r="A899" s="44" t="s">
        <v>7623</v>
      </c>
      <c r="B899" s="37" t="s">
        <v>6595</v>
      </c>
      <c r="C899" s="35" t="s">
        <v>6763</v>
      </c>
      <c r="D899" s="35" t="s">
        <v>7624</v>
      </c>
      <c r="E899" s="35" t="s">
        <v>2580</v>
      </c>
      <c r="F899" s="36">
        <v>0</v>
      </c>
      <c r="G899" s="35" t="s">
        <v>2581</v>
      </c>
      <c r="H899" s="35" t="s">
        <v>2583</v>
      </c>
    </row>
    <row r="900" spans="1:8" ht="23.1" thickBot="1" x14ac:dyDescent="0.6">
      <c r="A900" s="44"/>
      <c r="B900" s="37"/>
      <c r="C900" s="35"/>
      <c r="D900" s="35"/>
      <c r="E900" s="35" t="s">
        <v>2584</v>
      </c>
      <c r="F900" s="36">
        <v>0</v>
      </c>
      <c r="G900" s="35" t="s">
        <v>2585</v>
      </c>
      <c r="H900" s="35" t="s">
        <v>2587</v>
      </c>
    </row>
    <row r="901" spans="1:8" ht="14.7" thickBot="1" x14ac:dyDescent="0.6">
      <c r="A901" s="44" t="s">
        <v>7625</v>
      </c>
      <c r="B901" s="37" t="s">
        <v>6365</v>
      </c>
      <c r="C901" s="35" t="s">
        <v>6765</v>
      </c>
      <c r="D901" s="35" t="s">
        <v>7626</v>
      </c>
      <c r="E901" s="35"/>
      <c r="F901" s="36"/>
      <c r="G901" s="35"/>
      <c r="H901" s="35"/>
    </row>
    <row r="902" spans="1:8" ht="23.1" thickBot="1" x14ac:dyDescent="0.6">
      <c r="A902" s="44" t="s">
        <v>7627</v>
      </c>
      <c r="B902" s="37" t="s">
        <v>6618</v>
      </c>
      <c r="C902" s="35" t="s">
        <v>6763</v>
      </c>
      <c r="D902" s="35" t="s">
        <v>7628</v>
      </c>
      <c r="E902" s="35" t="s">
        <v>2588</v>
      </c>
      <c r="F902" s="36">
        <v>0</v>
      </c>
      <c r="G902" s="35" t="s">
        <v>2589</v>
      </c>
      <c r="H902" s="35" t="s">
        <v>2591</v>
      </c>
    </row>
    <row r="903" spans="1:8" ht="23.1" thickBot="1" x14ac:dyDescent="0.6">
      <c r="A903" s="44"/>
      <c r="B903" s="37"/>
      <c r="C903" s="35" t="s">
        <v>6792</v>
      </c>
      <c r="D903" s="35" t="s">
        <v>7629</v>
      </c>
      <c r="E903" s="35" t="s">
        <v>2588</v>
      </c>
      <c r="F903" s="36">
        <v>0</v>
      </c>
      <c r="G903" s="35" t="s">
        <v>2589</v>
      </c>
      <c r="H903" s="35" t="s">
        <v>2591</v>
      </c>
    </row>
    <row r="904" spans="1:8" ht="23.1" thickBot="1" x14ac:dyDescent="0.6">
      <c r="A904" s="44"/>
      <c r="B904" s="37"/>
      <c r="C904" s="35" t="s">
        <v>6764</v>
      </c>
      <c r="D904" s="35" t="s">
        <v>7630</v>
      </c>
      <c r="E904" s="35" t="s">
        <v>2588</v>
      </c>
      <c r="F904" s="36">
        <v>0</v>
      </c>
      <c r="G904" s="35" t="s">
        <v>2589</v>
      </c>
      <c r="H904" s="35" t="s">
        <v>2591</v>
      </c>
    </row>
    <row r="905" spans="1:8" ht="23.1" thickBot="1" x14ac:dyDescent="0.6">
      <c r="A905" s="44"/>
      <c r="B905" s="37"/>
      <c r="C905" s="35"/>
      <c r="D905" s="35"/>
      <c r="E905" s="35" t="s">
        <v>2592</v>
      </c>
      <c r="F905" s="36">
        <v>0</v>
      </c>
      <c r="G905" s="35" t="s">
        <v>2593</v>
      </c>
      <c r="H905" s="35" t="s">
        <v>2595</v>
      </c>
    </row>
    <row r="906" spans="1:8" ht="23.1" thickBot="1" x14ac:dyDescent="0.6">
      <c r="A906" s="44" t="s">
        <v>7631</v>
      </c>
      <c r="B906" s="37" t="s">
        <v>6623</v>
      </c>
      <c r="C906" s="35" t="s">
        <v>6774</v>
      </c>
      <c r="D906" s="35" t="s">
        <v>7632</v>
      </c>
      <c r="E906" s="35" t="s">
        <v>2596</v>
      </c>
      <c r="F906" s="36">
        <v>0</v>
      </c>
      <c r="G906" s="35" t="s">
        <v>2597</v>
      </c>
      <c r="H906" s="35" t="s">
        <v>2599</v>
      </c>
    </row>
    <row r="907" spans="1:8" ht="23.1" thickBot="1" x14ac:dyDescent="0.6">
      <c r="A907" s="44" t="s">
        <v>7633</v>
      </c>
      <c r="B907" s="37" t="s">
        <v>6626</v>
      </c>
      <c r="C907" s="35" t="s">
        <v>6763</v>
      </c>
      <c r="D907" s="35" t="s">
        <v>7634</v>
      </c>
      <c r="E907" s="35" t="s">
        <v>2600</v>
      </c>
      <c r="F907" s="36">
        <v>0</v>
      </c>
      <c r="G907" s="35" t="s">
        <v>2601</v>
      </c>
      <c r="H907" s="35" t="s">
        <v>2603</v>
      </c>
    </row>
    <row r="908" spans="1:8" ht="23.1" thickBot="1" x14ac:dyDescent="0.6">
      <c r="A908" s="44"/>
      <c r="B908" s="37"/>
      <c r="C908" s="35" t="s">
        <v>6764</v>
      </c>
      <c r="D908" s="35" t="s">
        <v>7635</v>
      </c>
      <c r="E908" s="35" t="s">
        <v>2600</v>
      </c>
      <c r="F908" s="36">
        <v>0</v>
      </c>
      <c r="G908" s="35" t="s">
        <v>2601</v>
      </c>
      <c r="H908" s="35" t="s">
        <v>2603</v>
      </c>
    </row>
    <row r="909" spans="1:8" ht="23.1" thickBot="1" x14ac:dyDescent="0.6">
      <c r="A909" s="44"/>
      <c r="B909" s="37"/>
      <c r="C909" s="35"/>
      <c r="D909" s="35"/>
      <c r="E909" s="35" t="s">
        <v>2604</v>
      </c>
      <c r="F909" s="36">
        <v>0</v>
      </c>
      <c r="G909" s="35" t="s">
        <v>2605</v>
      </c>
      <c r="H909" s="35" t="s">
        <v>2607</v>
      </c>
    </row>
    <row r="910" spans="1:8" ht="23.1" thickBot="1" x14ac:dyDescent="0.6">
      <c r="A910" s="44" t="s">
        <v>7636</v>
      </c>
      <c r="B910" s="37" t="s">
        <v>6713</v>
      </c>
      <c r="C910" s="35" t="s">
        <v>6792</v>
      </c>
      <c r="D910" s="35" t="s">
        <v>7637</v>
      </c>
      <c r="E910" s="35" t="s">
        <v>2608</v>
      </c>
      <c r="F910" s="36">
        <v>0</v>
      </c>
      <c r="G910" s="35" t="s">
        <v>2609</v>
      </c>
      <c r="H910" s="35" t="s">
        <v>2611</v>
      </c>
    </row>
    <row r="911" spans="1:8" ht="23.1" thickBot="1" x14ac:dyDescent="0.6">
      <c r="A911" s="44" t="s">
        <v>7638</v>
      </c>
      <c r="B911" s="37" t="s">
        <v>6635</v>
      </c>
      <c r="C911" s="35" t="s">
        <v>6770</v>
      </c>
      <c r="D911" s="35" t="s">
        <v>7639</v>
      </c>
      <c r="E911" s="35" t="s">
        <v>2612</v>
      </c>
      <c r="F911" s="36">
        <v>0</v>
      </c>
      <c r="G911" s="35" t="s">
        <v>2613</v>
      </c>
      <c r="H911" s="35" t="s">
        <v>2615</v>
      </c>
    </row>
    <row r="912" spans="1:8" ht="23.1" thickBot="1" x14ac:dyDescent="0.6">
      <c r="A912" s="44" t="s">
        <v>7640</v>
      </c>
      <c r="B912" s="37" t="s">
        <v>6634</v>
      </c>
      <c r="C912" s="35" t="s">
        <v>6780</v>
      </c>
      <c r="D912" s="35" t="s">
        <v>7641</v>
      </c>
      <c r="E912" s="35" t="s">
        <v>2616</v>
      </c>
      <c r="F912" s="36">
        <v>0</v>
      </c>
      <c r="G912" s="35" t="s">
        <v>2617</v>
      </c>
      <c r="H912" s="35" t="s">
        <v>2619</v>
      </c>
    </row>
    <row r="913" spans="1:8" ht="23.1" thickBot="1" x14ac:dyDescent="0.6">
      <c r="A913" s="44"/>
      <c r="B913" s="37"/>
      <c r="C913" s="35" t="s">
        <v>6744</v>
      </c>
      <c r="D913" s="35" t="s">
        <v>7642</v>
      </c>
      <c r="E913" s="35" t="s">
        <v>2616</v>
      </c>
      <c r="F913" s="36">
        <v>0</v>
      </c>
      <c r="G913" s="35" t="s">
        <v>2617</v>
      </c>
      <c r="H913" s="35" t="s">
        <v>2619</v>
      </c>
    </row>
    <row r="914" spans="1:8" ht="23.1" thickBot="1" x14ac:dyDescent="0.6">
      <c r="A914" s="44" t="s">
        <v>7643</v>
      </c>
      <c r="B914" s="37" t="s">
        <v>6633</v>
      </c>
      <c r="C914" s="35" t="s">
        <v>6770</v>
      </c>
      <c r="D914" s="35" t="s">
        <v>7644</v>
      </c>
      <c r="E914" s="35" t="s">
        <v>2620</v>
      </c>
      <c r="F914" s="36">
        <v>0</v>
      </c>
      <c r="G914" s="35" t="s">
        <v>2621</v>
      </c>
      <c r="H914" s="35" t="s">
        <v>2623</v>
      </c>
    </row>
    <row r="915" spans="1:8" ht="23.1" thickBot="1" x14ac:dyDescent="0.6">
      <c r="A915" s="44" t="s">
        <v>7645</v>
      </c>
      <c r="B915" s="37" t="s">
        <v>6667</v>
      </c>
      <c r="C915" s="35" t="s">
        <v>6763</v>
      </c>
      <c r="D915" s="35" t="s">
        <v>7646</v>
      </c>
      <c r="E915" s="35" t="s">
        <v>2624</v>
      </c>
      <c r="F915" s="36">
        <v>0</v>
      </c>
      <c r="G915" s="35" t="s">
        <v>2625</v>
      </c>
      <c r="H915" s="35" t="s">
        <v>2627</v>
      </c>
    </row>
    <row r="916" spans="1:8" ht="23.1" thickBot="1" x14ac:dyDescent="0.6">
      <c r="A916" s="44"/>
      <c r="B916" s="37"/>
      <c r="C916" s="35" t="s">
        <v>6764</v>
      </c>
      <c r="D916" s="35" t="s">
        <v>7647</v>
      </c>
      <c r="E916" s="35" t="s">
        <v>2624</v>
      </c>
      <c r="F916" s="36">
        <v>0</v>
      </c>
      <c r="G916" s="35" t="s">
        <v>2625</v>
      </c>
      <c r="H916" s="35" t="s">
        <v>2627</v>
      </c>
    </row>
    <row r="917" spans="1:8" ht="23.1" thickBot="1" x14ac:dyDescent="0.6">
      <c r="A917" s="44" t="s">
        <v>7648</v>
      </c>
      <c r="B917" s="37" t="s">
        <v>6577</v>
      </c>
      <c r="C917" s="35" t="s">
        <v>6792</v>
      </c>
      <c r="D917" s="35" t="s">
        <v>7649</v>
      </c>
      <c r="E917" s="35" t="s">
        <v>2628</v>
      </c>
      <c r="F917" s="36">
        <v>0</v>
      </c>
      <c r="G917" s="35" t="s">
        <v>2629</v>
      </c>
      <c r="H917" s="35" t="s">
        <v>2631</v>
      </c>
    </row>
    <row r="918" spans="1:8" ht="23.1" thickBot="1" x14ac:dyDescent="0.6">
      <c r="A918" s="44"/>
      <c r="B918" s="37"/>
      <c r="C918" s="35" t="s">
        <v>6764</v>
      </c>
      <c r="D918" s="35" t="s">
        <v>7650</v>
      </c>
      <c r="E918" s="35" t="s">
        <v>2628</v>
      </c>
      <c r="F918" s="36">
        <v>0</v>
      </c>
      <c r="G918" s="35" t="s">
        <v>2629</v>
      </c>
      <c r="H918" s="35" t="s">
        <v>2631</v>
      </c>
    </row>
    <row r="919" spans="1:8" ht="23.1" thickBot="1" x14ac:dyDescent="0.6">
      <c r="A919" s="44"/>
      <c r="B919" s="37"/>
      <c r="C919" s="35"/>
      <c r="D919" s="35"/>
      <c r="E919" s="35" t="s">
        <v>2632</v>
      </c>
      <c r="F919" s="36">
        <v>0</v>
      </c>
      <c r="G919" s="35" t="s">
        <v>2629</v>
      </c>
      <c r="H919" s="35" t="s">
        <v>2634</v>
      </c>
    </row>
    <row r="920" spans="1:8" ht="23.1" thickBot="1" x14ac:dyDescent="0.6">
      <c r="A920" s="44"/>
      <c r="B920" s="37"/>
      <c r="C920" s="35"/>
      <c r="D920" s="35"/>
      <c r="E920" s="35" t="s">
        <v>2635</v>
      </c>
      <c r="F920" s="36">
        <v>0</v>
      </c>
      <c r="G920" s="35" t="s">
        <v>2636</v>
      </c>
      <c r="H920" s="35" t="s">
        <v>2638</v>
      </c>
    </row>
    <row r="921" spans="1:8" ht="23.1" thickBot="1" x14ac:dyDescent="0.6">
      <c r="A921" s="44"/>
      <c r="B921" s="37"/>
      <c r="C921" s="35"/>
      <c r="D921" s="35"/>
      <c r="E921" s="35" t="s">
        <v>2639</v>
      </c>
      <c r="F921" s="36">
        <v>0</v>
      </c>
      <c r="G921" s="35" t="s">
        <v>2640</v>
      </c>
      <c r="H921" s="35" t="s">
        <v>2642</v>
      </c>
    </row>
    <row r="922" spans="1:8" ht="23.1" thickBot="1" x14ac:dyDescent="0.6">
      <c r="A922" s="44"/>
      <c r="B922" s="37"/>
      <c r="C922" s="35"/>
      <c r="D922" s="35"/>
      <c r="E922" s="35" t="s">
        <v>2643</v>
      </c>
      <c r="F922" s="36">
        <v>0</v>
      </c>
      <c r="G922" s="35" t="s">
        <v>2644</v>
      </c>
      <c r="H922" s="35" t="s">
        <v>2646</v>
      </c>
    </row>
    <row r="923" spans="1:8" ht="23.1" thickBot="1" x14ac:dyDescent="0.6">
      <c r="A923" s="44" t="s">
        <v>7651</v>
      </c>
      <c r="B923" s="37" t="s">
        <v>6735</v>
      </c>
      <c r="C923" s="35" t="s">
        <v>6763</v>
      </c>
      <c r="D923" s="35" t="s">
        <v>7652</v>
      </c>
      <c r="E923" s="35" t="s">
        <v>2647</v>
      </c>
      <c r="F923" s="36">
        <v>0</v>
      </c>
      <c r="G923" s="35" t="s">
        <v>2648</v>
      </c>
      <c r="H923" s="35" t="s">
        <v>2650</v>
      </c>
    </row>
    <row r="924" spans="1:8" ht="23.1" thickBot="1" x14ac:dyDescent="0.6">
      <c r="A924" s="44"/>
      <c r="B924" s="37"/>
      <c r="C924" s="35" t="s">
        <v>6792</v>
      </c>
      <c r="D924" s="35" t="s">
        <v>7653</v>
      </c>
      <c r="E924" s="35" t="s">
        <v>2647</v>
      </c>
      <c r="F924" s="36">
        <v>0</v>
      </c>
      <c r="G924" s="35" t="s">
        <v>2648</v>
      </c>
      <c r="H924" s="35" t="s">
        <v>2650</v>
      </c>
    </row>
    <row r="925" spans="1:8" ht="23.1" thickBot="1" x14ac:dyDescent="0.6">
      <c r="A925" s="44"/>
      <c r="B925" s="37"/>
      <c r="C925" s="35" t="s">
        <v>6761</v>
      </c>
      <c r="D925" s="35" t="s">
        <v>7654</v>
      </c>
      <c r="E925" s="35" t="s">
        <v>2651</v>
      </c>
      <c r="F925" s="36">
        <v>0</v>
      </c>
      <c r="G925" s="35" t="s">
        <v>2652</v>
      </c>
      <c r="H925" s="35" t="s">
        <v>2654</v>
      </c>
    </row>
    <row r="926" spans="1:8" ht="23.1" thickBot="1" x14ac:dyDescent="0.6">
      <c r="A926" s="44"/>
      <c r="B926" s="37"/>
      <c r="C926" s="35"/>
      <c r="D926" s="35"/>
      <c r="E926" s="35" t="s">
        <v>2655</v>
      </c>
      <c r="F926" s="36">
        <v>0</v>
      </c>
      <c r="G926" s="35" t="s">
        <v>2656</v>
      </c>
      <c r="H926" s="35" t="s">
        <v>2658</v>
      </c>
    </row>
    <row r="927" spans="1:8" ht="23.1" thickBot="1" x14ac:dyDescent="0.6">
      <c r="A927" s="44"/>
      <c r="B927" s="37"/>
      <c r="C927" s="35"/>
      <c r="D927" s="35"/>
      <c r="E927" s="35" t="s">
        <v>2659</v>
      </c>
      <c r="F927" s="36">
        <v>0</v>
      </c>
      <c r="G927" s="35" t="s">
        <v>2660</v>
      </c>
      <c r="H927" s="35" t="s">
        <v>2662</v>
      </c>
    </row>
    <row r="928" spans="1:8" ht="23.1" thickBot="1" x14ac:dyDescent="0.6">
      <c r="A928" s="44"/>
      <c r="B928" s="37"/>
      <c r="C928" s="35"/>
      <c r="D928" s="35"/>
      <c r="E928" s="35" t="s">
        <v>2663</v>
      </c>
      <c r="F928" s="36">
        <v>0</v>
      </c>
      <c r="G928" s="35" t="s">
        <v>2664</v>
      </c>
      <c r="H928" s="35" t="s">
        <v>2666</v>
      </c>
    </row>
    <row r="929" spans="1:8" ht="23.1" thickBot="1" x14ac:dyDescent="0.6">
      <c r="A929" s="44"/>
      <c r="B929" s="37"/>
      <c r="C929" s="35"/>
      <c r="D929" s="35"/>
      <c r="E929" s="35" t="s">
        <v>2667</v>
      </c>
      <c r="F929" s="36">
        <v>0</v>
      </c>
      <c r="G929" s="35" t="s">
        <v>2668</v>
      </c>
      <c r="H929" s="35" t="s">
        <v>2670</v>
      </c>
    </row>
    <row r="930" spans="1:8" ht="23.1" thickBot="1" x14ac:dyDescent="0.6">
      <c r="A930" s="44" t="s">
        <v>7655</v>
      </c>
      <c r="B930" s="37" t="s">
        <v>6736</v>
      </c>
      <c r="C930" s="35" t="s">
        <v>6745</v>
      </c>
      <c r="D930" s="35" t="s">
        <v>7656</v>
      </c>
      <c r="E930" s="35" t="s">
        <v>2671</v>
      </c>
      <c r="F930" s="36">
        <v>0</v>
      </c>
      <c r="G930" s="35" t="s">
        <v>2672</v>
      </c>
      <c r="H930" s="35" t="s">
        <v>2674</v>
      </c>
    </row>
    <row r="931" spans="1:8" ht="23.1" thickBot="1" x14ac:dyDescent="0.6">
      <c r="A931" s="44"/>
      <c r="B931" s="37"/>
      <c r="C931" s="35" t="s">
        <v>6746</v>
      </c>
      <c r="D931" s="35" t="s">
        <v>7657</v>
      </c>
      <c r="E931" s="35" t="s">
        <v>2671</v>
      </c>
      <c r="F931" s="36">
        <v>0</v>
      </c>
      <c r="G931" s="35" t="s">
        <v>2672</v>
      </c>
      <c r="H931" s="35" t="s">
        <v>2674</v>
      </c>
    </row>
    <row r="932" spans="1:8" ht="23.1" thickBot="1" x14ac:dyDescent="0.6">
      <c r="A932" s="44" t="s">
        <v>7658</v>
      </c>
      <c r="B932" s="37" t="s">
        <v>6733</v>
      </c>
      <c r="C932" s="35" t="s">
        <v>6792</v>
      </c>
      <c r="D932" s="35" t="s">
        <v>7659</v>
      </c>
      <c r="E932" s="35" t="s">
        <v>2675</v>
      </c>
      <c r="F932" s="36">
        <v>0</v>
      </c>
      <c r="G932" s="35" t="s">
        <v>2676</v>
      </c>
      <c r="H932" s="35" t="s">
        <v>2678</v>
      </c>
    </row>
    <row r="933" spans="1:8" ht="23.1" thickBot="1" x14ac:dyDescent="0.6">
      <c r="A933" s="44"/>
      <c r="B933" s="37"/>
      <c r="C933" s="35" t="s">
        <v>6764</v>
      </c>
      <c r="D933" s="35" t="s">
        <v>7660</v>
      </c>
      <c r="E933" s="35" t="s">
        <v>2675</v>
      </c>
      <c r="F933" s="36">
        <v>0</v>
      </c>
      <c r="G933" s="35" t="s">
        <v>2676</v>
      </c>
      <c r="H933" s="35" t="s">
        <v>2678</v>
      </c>
    </row>
    <row r="934" spans="1:8" ht="23.1" thickBot="1" x14ac:dyDescent="0.6">
      <c r="A934" s="44"/>
      <c r="B934" s="37"/>
      <c r="C934" s="35"/>
      <c r="D934" s="35"/>
      <c r="E934" s="35" t="s">
        <v>2679</v>
      </c>
      <c r="F934" s="36">
        <v>0</v>
      </c>
      <c r="G934" s="35" t="s">
        <v>2680</v>
      </c>
      <c r="H934" s="35" t="s">
        <v>2682</v>
      </c>
    </row>
    <row r="935" spans="1:8" ht="23.1" thickBot="1" x14ac:dyDescent="0.6">
      <c r="A935" s="44"/>
      <c r="B935" s="37"/>
      <c r="C935" s="35"/>
      <c r="D935" s="35"/>
      <c r="E935" s="35" t="s">
        <v>2683</v>
      </c>
      <c r="F935" s="36">
        <v>0</v>
      </c>
      <c r="G935" s="35" t="s">
        <v>2684</v>
      </c>
      <c r="H935" s="35" t="s">
        <v>2686</v>
      </c>
    </row>
    <row r="936" spans="1:8" ht="23.1" thickBot="1" x14ac:dyDescent="0.6">
      <c r="A936" s="44"/>
      <c r="B936" s="37"/>
      <c r="C936" s="35"/>
      <c r="D936" s="35"/>
      <c r="E936" s="35" t="s">
        <v>2687</v>
      </c>
      <c r="F936" s="36">
        <v>0</v>
      </c>
      <c r="G936" s="35" t="s">
        <v>2688</v>
      </c>
      <c r="H936" s="35" t="s">
        <v>2690</v>
      </c>
    </row>
    <row r="937" spans="1:8" ht="23.1" thickBot="1" x14ac:dyDescent="0.6">
      <c r="A937" s="44" t="s">
        <v>7661</v>
      </c>
      <c r="B937" s="37" t="s">
        <v>6716</v>
      </c>
      <c r="C937" s="35" t="s">
        <v>6803</v>
      </c>
      <c r="D937" s="35" t="s">
        <v>7662</v>
      </c>
      <c r="E937" s="35" t="s">
        <v>2691</v>
      </c>
      <c r="F937" s="36">
        <v>0</v>
      </c>
      <c r="G937" s="35" t="s">
        <v>2692</v>
      </c>
      <c r="H937" s="35" t="s">
        <v>2694</v>
      </c>
    </row>
    <row r="938" spans="1:8" ht="23.1" thickBot="1" x14ac:dyDescent="0.6">
      <c r="A938" s="44" t="s">
        <v>7663</v>
      </c>
      <c r="B938" s="37" t="s">
        <v>6646</v>
      </c>
      <c r="C938" s="35" t="s">
        <v>6775</v>
      </c>
      <c r="D938" s="35" t="s">
        <v>7664</v>
      </c>
      <c r="E938" s="35" t="s">
        <v>2695</v>
      </c>
      <c r="F938" s="36">
        <v>0</v>
      </c>
      <c r="G938" s="35" t="s">
        <v>2696</v>
      </c>
      <c r="H938" s="35" t="s">
        <v>2698</v>
      </c>
    </row>
    <row r="939" spans="1:8" ht="23.1" thickBot="1" x14ac:dyDescent="0.6">
      <c r="A939" s="44"/>
      <c r="B939" s="37"/>
      <c r="C939" s="35" t="s">
        <v>6776</v>
      </c>
      <c r="D939" s="35" t="s">
        <v>7665</v>
      </c>
      <c r="E939" s="35" t="s">
        <v>2695</v>
      </c>
      <c r="F939" s="36">
        <v>0</v>
      </c>
      <c r="G939" s="35" t="s">
        <v>2696</v>
      </c>
      <c r="H939" s="35" t="s">
        <v>2698</v>
      </c>
    </row>
    <row r="940" spans="1:8" ht="23.1" thickBot="1" x14ac:dyDescent="0.6">
      <c r="A940" s="44"/>
      <c r="B940" s="37"/>
      <c r="C940" s="35" t="s">
        <v>6809</v>
      </c>
      <c r="D940" s="35" t="s">
        <v>7666</v>
      </c>
      <c r="E940" s="35" t="s">
        <v>2695</v>
      </c>
      <c r="F940" s="36">
        <v>0</v>
      </c>
      <c r="G940" s="35" t="s">
        <v>2696</v>
      </c>
      <c r="H940" s="35" t="s">
        <v>2698</v>
      </c>
    </row>
    <row r="941" spans="1:8" ht="23.1" thickBot="1" x14ac:dyDescent="0.6">
      <c r="A941" s="44" t="s">
        <v>7667</v>
      </c>
      <c r="B941" s="37" t="s">
        <v>6412</v>
      </c>
      <c r="C941" s="35" t="s">
        <v>6792</v>
      </c>
      <c r="D941" s="35" t="s">
        <v>7668</v>
      </c>
      <c r="E941" s="35" t="s">
        <v>2699</v>
      </c>
      <c r="F941" s="36">
        <v>0</v>
      </c>
      <c r="G941" s="35" t="s">
        <v>2700</v>
      </c>
      <c r="H941" s="35" t="s">
        <v>2702</v>
      </c>
    </row>
    <row r="942" spans="1:8" ht="23.1" thickBot="1" x14ac:dyDescent="0.6">
      <c r="A942" s="44" t="s">
        <v>7669</v>
      </c>
      <c r="B942" s="37" t="s">
        <v>6433</v>
      </c>
      <c r="C942" s="35" t="s">
        <v>6763</v>
      </c>
      <c r="D942" s="35" t="s">
        <v>7670</v>
      </c>
      <c r="E942" s="35" t="s">
        <v>2703</v>
      </c>
      <c r="F942" s="36">
        <v>0</v>
      </c>
      <c r="G942" s="35" t="s">
        <v>2704</v>
      </c>
      <c r="H942" s="35" t="s">
        <v>2706</v>
      </c>
    </row>
    <row r="943" spans="1:8" ht="23.1" thickBot="1" x14ac:dyDescent="0.6">
      <c r="A943" s="44"/>
      <c r="B943" s="37"/>
      <c r="C943" s="35" t="s">
        <v>6792</v>
      </c>
      <c r="D943" s="35" t="s">
        <v>7671</v>
      </c>
      <c r="E943" s="35" t="s">
        <v>2703</v>
      </c>
      <c r="F943" s="36">
        <v>0</v>
      </c>
      <c r="G943" s="35" t="s">
        <v>2704</v>
      </c>
      <c r="H943" s="35" t="s">
        <v>2706</v>
      </c>
    </row>
    <row r="944" spans="1:8" ht="23.1" thickBot="1" x14ac:dyDescent="0.6">
      <c r="A944" s="44"/>
      <c r="B944" s="37"/>
      <c r="C944" s="35" t="s">
        <v>6764</v>
      </c>
      <c r="D944" s="35" t="s">
        <v>7672</v>
      </c>
      <c r="E944" s="35" t="s">
        <v>2703</v>
      </c>
      <c r="F944" s="36">
        <v>0</v>
      </c>
      <c r="G944" s="35" t="s">
        <v>2704</v>
      </c>
      <c r="H944" s="35" t="s">
        <v>2706</v>
      </c>
    </row>
    <row r="945" spans="1:8" ht="23.1" thickBot="1" x14ac:dyDescent="0.6">
      <c r="A945" s="44" t="s">
        <v>7673</v>
      </c>
      <c r="B945" s="37" t="s">
        <v>6546</v>
      </c>
      <c r="C945" s="35" t="s">
        <v>6775</v>
      </c>
      <c r="D945" s="35" t="s">
        <v>7674</v>
      </c>
      <c r="E945" s="35" t="s">
        <v>2707</v>
      </c>
      <c r="F945" s="36">
        <v>0</v>
      </c>
      <c r="G945" s="35" t="s">
        <v>2708</v>
      </c>
      <c r="H945" s="35" t="s">
        <v>2710</v>
      </c>
    </row>
    <row r="946" spans="1:8" ht="23.1" thickBot="1" x14ac:dyDescent="0.6">
      <c r="A946" s="44"/>
      <c r="B946" s="37"/>
      <c r="C946" s="35" t="s">
        <v>6776</v>
      </c>
      <c r="D946" s="35" t="s">
        <v>7675</v>
      </c>
      <c r="E946" s="35" t="s">
        <v>2707</v>
      </c>
      <c r="F946" s="36">
        <v>0</v>
      </c>
      <c r="G946" s="35" t="s">
        <v>2708</v>
      </c>
      <c r="H946" s="35" t="s">
        <v>2710</v>
      </c>
    </row>
    <row r="947" spans="1:8" ht="23.1" thickBot="1" x14ac:dyDescent="0.6">
      <c r="A947" s="44"/>
      <c r="B947" s="37"/>
      <c r="C947" s="35" t="s">
        <v>6809</v>
      </c>
      <c r="D947" s="35" t="s">
        <v>7676</v>
      </c>
      <c r="E947" s="35" t="s">
        <v>2707</v>
      </c>
      <c r="F947" s="36">
        <v>0</v>
      </c>
      <c r="G947" s="35" t="s">
        <v>2708</v>
      </c>
      <c r="H947" s="35" t="s">
        <v>2710</v>
      </c>
    </row>
    <row r="948" spans="1:8" ht="23.1" thickBot="1" x14ac:dyDescent="0.6">
      <c r="A948" s="44"/>
      <c r="B948" s="37"/>
      <c r="C948" s="35"/>
      <c r="D948" s="35"/>
      <c r="E948" s="35" t="s">
        <v>2711</v>
      </c>
      <c r="F948" s="36">
        <v>0</v>
      </c>
      <c r="G948" s="35" t="s">
        <v>2712</v>
      </c>
      <c r="H948" s="35" t="s">
        <v>2714</v>
      </c>
    </row>
    <row r="949" spans="1:8" ht="23.1" thickBot="1" x14ac:dyDescent="0.6">
      <c r="A949" s="44"/>
      <c r="B949" s="37"/>
      <c r="C949" s="35"/>
      <c r="D949" s="35"/>
      <c r="E949" s="35" t="s">
        <v>2715</v>
      </c>
      <c r="F949" s="36">
        <v>0</v>
      </c>
      <c r="G949" s="35" t="s">
        <v>2716</v>
      </c>
      <c r="H949" s="35" t="s">
        <v>2718</v>
      </c>
    </row>
    <row r="950" spans="1:8" ht="23.1" thickBot="1" x14ac:dyDescent="0.6">
      <c r="A950" s="44"/>
      <c r="B950" s="37"/>
      <c r="C950" s="35"/>
      <c r="D950" s="35"/>
      <c r="E950" s="35" t="s">
        <v>2719</v>
      </c>
      <c r="F950" s="36">
        <v>0</v>
      </c>
      <c r="G950" s="35" t="s">
        <v>2720</v>
      </c>
      <c r="H950" s="35" t="s">
        <v>2722</v>
      </c>
    </row>
    <row r="951" spans="1:8" ht="23.1" thickBot="1" x14ac:dyDescent="0.6">
      <c r="A951" s="44"/>
      <c r="B951" s="37"/>
      <c r="C951" s="35"/>
      <c r="D951" s="35"/>
      <c r="E951" s="35" t="s">
        <v>2723</v>
      </c>
      <c r="F951" s="36">
        <v>0</v>
      </c>
      <c r="G951" s="35" t="s">
        <v>2724</v>
      </c>
      <c r="H951" s="35" t="s">
        <v>2726</v>
      </c>
    </row>
    <row r="952" spans="1:8" ht="23.1" thickBot="1" x14ac:dyDescent="0.6">
      <c r="A952" s="44" t="s">
        <v>7677</v>
      </c>
      <c r="B952" s="37" t="s">
        <v>6657</v>
      </c>
      <c r="C952" s="35" t="s">
        <v>6763</v>
      </c>
      <c r="D952" s="35" t="s">
        <v>7678</v>
      </c>
      <c r="E952" s="35" t="s">
        <v>2727</v>
      </c>
      <c r="F952" s="36">
        <v>0</v>
      </c>
      <c r="G952" s="35" t="s">
        <v>2728</v>
      </c>
      <c r="H952" s="35" t="s">
        <v>2730</v>
      </c>
    </row>
    <row r="953" spans="1:8" ht="23.1" thickBot="1" x14ac:dyDescent="0.6">
      <c r="A953" s="44"/>
      <c r="B953" s="37"/>
      <c r="C953" s="35" t="s">
        <v>6792</v>
      </c>
      <c r="D953" s="35" t="s">
        <v>7679</v>
      </c>
      <c r="E953" s="35" t="s">
        <v>2727</v>
      </c>
      <c r="F953" s="36">
        <v>0</v>
      </c>
      <c r="G953" s="35" t="s">
        <v>2728</v>
      </c>
      <c r="H953" s="35" t="s">
        <v>2730</v>
      </c>
    </row>
    <row r="954" spans="1:8" ht="23.1" thickBot="1" x14ac:dyDescent="0.6">
      <c r="A954" s="44"/>
      <c r="B954" s="37"/>
      <c r="C954" s="35"/>
      <c r="D954" s="35"/>
      <c r="E954" s="35" t="s">
        <v>2731</v>
      </c>
      <c r="F954" s="36">
        <v>0</v>
      </c>
      <c r="G954" s="35" t="s">
        <v>1491</v>
      </c>
      <c r="H954" s="35" t="s">
        <v>2733</v>
      </c>
    </row>
    <row r="955" spans="1:8" ht="23.1" thickBot="1" x14ac:dyDescent="0.6">
      <c r="A955" s="44"/>
      <c r="B955" s="37"/>
      <c r="C955" s="35"/>
      <c r="D955" s="35"/>
      <c r="E955" s="35" t="s">
        <v>2734</v>
      </c>
      <c r="F955" s="36">
        <v>0</v>
      </c>
      <c r="G955" s="35" t="s">
        <v>2735</v>
      </c>
      <c r="H955" s="35" t="s">
        <v>2737</v>
      </c>
    </row>
    <row r="956" spans="1:8" ht="23.1" thickBot="1" x14ac:dyDescent="0.6">
      <c r="A956" s="44"/>
      <c r="B956" s="37"/>
      <c r="C956" s="35"/>
      <c r="D956" s="35"/>
      <c r="E956" s="35" t="s">
        <v>2738</v>
      </c>
      <c r="F956" s="36">
        <v>0</v>
      </c>
      <c r="G956" s="35" t="s">
        <v>2739</v>
      </c>
      <c r="H956" s="35" t="s">
        <v>2741</v>
      </c>
    </row>
    <row r="957" spans="1:8" ht="34.5" thickBot="1" x14ac:dyDescent="0.6">
      <c r="A957" s="44" t="s">
        <v>7680</v>
      </c>
      <c r="B957" s="37" t="s">
        <v>6476</v>
      </c>
      <c r="C957" s="35" t="s">
        <v>6763</v>
      </c>
      <c r="D957" s="35" t="s">
        <v>7681</v>
      </c>
      <c r="E957" s="35" t="s">
        <v>2742</v>
      </c>
      <c r="F957" s="36">
        <v>0</v>
      </c>
      <c r="G957" s="35" t="s">
        <v>2743</v>
      </c>
      <c r="H957" s="35" t="s">
        <v>2745</v>
      </c>
    </row>
    <row r="958" spans="1:8" ht="34.5" thickBot="1" x14ac:dyDescent="0.6">
      <c r="A958" s="44"/>
      <c r="B958" s="37"/>
      <c r="C958" s="35" t="s">
        <v>6792</v>
      </c>
      <c r="D958" s="35" t="s">
        <v>7682</v>
      </c>
      <c r="E958" s="35" t="s">
        <v>2742</v>
      </c>
      <c r="F958" s="36">
        <v>0</v>
      </c>
      <c r="G958" s="35" t="s">
        <v>2743</v>
      </c>
      <c r="H958" s="35" t="s">
        <v>2745</v>
      </c>
    </row>
    <row r="959" spans="1:8" ht="34.5" thickBot="1" x14ac:dyDescent="0.6">
      <c r="A959" s="44"/>
      <c r="B959" s="37"/>
      <c r="C959" s="35" t="s">
        <v>6764</v>
      </c>
      <c r="D959" s="35" t="s">
        <v>7683</v>
      </c>
      <c r="E959" s="35" t="s">
        <v>2742</v>
      </c>
      <c r="F959" s="36">
        <v>0</v>
      </c>
      <c r="G959" s="35" t="s">
        <v>2743</v>
      </c>
      <c r="H959" s="35" t="s">
        <v>2745</v>
      </c>
    </row>
    <row r="960" spans="1:8" ht="23.1" thickBot="1" x14ac:dyDescent="0.6">
      <c r="A960" s="44" t="s">
        <v>7684</v>
      </c>
      <c r="B960" s="37" t="s">
        <v>6371</v>
      </c>
      <c r="C960" s="35" t="s">
        <v>6775</v>
      </c>
      <c r="D960" s="35" t="s">
        <v>7685</v>
      </c>
      <c r="E960" s="35" t="s">
        <v>2746</v>
      </c>
      <c r="F960" s="36">
        <v>0</v>
      </c>
      <c r="G960" s="35" t="s">
        <v>2747</v>
      </c>
      <c r="H960" s="35" t="s">
        <v>2749</v>
      </c>
    </row>
    <row r="961" spans="1:8" ht="23.1" thickBot="1" x14ac:dyDescent="0.6">
      <c r="A961" s="44"/>
      <c r="B961" s="37"/>
      <c r="C961" s="35" t="s">
        <v>6776</v>
      </c>
      <c r="D961" s="35" t="s">
        <v>7686</v>
      </c>
      <c r="E961" s="35" t="s">
        <v>2746</v>
      </c>
      <c r="F961" s="36">
        <v>0</v>
      </c>
      <c r="G961" s="35" t="s">
        <v>2747</v>
      </c>
      <c r="H961" s="35" t="s">
        <v>2749</v>
      </c>
    </row>
    <row r="962" spans="1:8" ht="23.1" thickBot="1" x14ac:dyDescent="0.6">
      <c r="A962" s="44" t="s">
        <v>7687</v>
      </c>
      <c r="B962" s="37" t="s">
        <v>6724</v>
      </c>
      <c r="C962" s="35" t="s">
        <v>6792</v>
      </c>
      <c r="D962" s="35" t="s">
        <v>7688</v>
      </c>
      <c r="E962" s="35" t="s">
        <v>2750</v>
      </c>
      <c r="F962" s="36">
        <v>0</v>
      </c>
      <c r="G962" s="35" t="s">
        <v>2751</v>
      </c>
      <c r="H962" s="35" t="s">
        <v>2753</v>
      </c>
    </row>
    <row r="963" spans="1:8" ht="23.1" thickBot="1" x14ac:dyDescent="0.6">
      <c r="A963" s="44"/>
      <c r="B963" s="37"/>
      <c r="C963" s="35" t="s">
        <v>6764</v>
      </c>
      <c r="D963" s="35" t="s">
        <v>7689</v>
      </c>
      <c r="E963" s="35" t="s">
        <v>2750</v>
      </c>
      <c r="F963" s="36">
        <v>0</v>
      </c>
      <c r="G963" s="35" t="s">
        <v>2751</v>
      </c>
      <c r="H963" s="35" t="s">
        <v>2753</v>
      </c>
    </row>
    <row r="964" spans="1:8" ht="23.1" thickBot="1" x14ac:dyDescent="0.6">
      <c r="A964" s="44" t="s">
        <v>7690</v>
      </c>
      <c r="B964" s="37" t="s">
        <v>6470</v>
      </c>
      <c r="C964" s="35" t="s">
        <v>6763</v>
      </c>
      <c r="D964" s="35" t="s">
        <v>7691</v>
      </c>
      <c r="E964" s="35" t="s">
        <v>2754</v>
      </c>
      <c r="F964" s="36">
        <v>0</v>
      </c>
      <c r="G964" s="35" t="s">
        <v>2755</v>
      </c>
      <c r="H964" s="35" t="s">
        <v>2757</v>
      </c>
    </row>
    <row r="965" spans="1:8" ht="23.1" thickBot="1" x14ac:dyDescent="0.6">
      <c r="A965" s="44" t="s">
        <v>7692</v>
      </c>
      <c r="B965" s="37" t="s">
        <v>6487</v>
      </c>
      <c r="C965" s="35" t="s">
        <v>6792</v>
      </c>
      <c r="D965" s="35" t="s">
        <v>7693</v>
      </c>
      <c r="E965" s="35" t="s">
        <v>2758</v>
      </c>
      <c r="F965" s="36">
        <v>0</v>
      </c>
      <c r="G965" s="35" t="s">
        <v>2759</v>
      </c>
      <c r="H965" s="35" t="s">
        <v>2761</v>
      </c>
    </row>
    <row r="966" spans="1:8" ht="23.1" thickBot="1" x14ac:dyDescent="0.6">
      <c r="A966" s="44"/>
      <c r="B966" s="37"/>
      <c r="C966" s="35"/>
      <c r="D966" s="35"/>
      <c r="E966" s="35" t="s">
        <v>2762</v>
      </c>
      <c r="F966" s="36">
        <v>0</v>
      </c>
      <c r="G966" s="35" t="s">
        <v>2763</v>
      </c>
      <c r="H966" s="35" t="s">
        <v>2765</v>
      </c>
    </row>
    <row r="967" spans="1:8" ht="23.1" thickBot="1" x14ac:dyDescent="0.6">
      <c r="A967" s="44" t="s">
        <v>7694</v>
      </c>
      <c r="B967" s="37" t="s">
        <v>6572</v>
      </c>
      <c r="C967" s="35" t="s">
        <v>6770</v>
      </c>
      <c r="D967" s="35" t="s">
        <v>7695</v>
      </c>
      <c r="E967" s="35" t="s">
        <v>2766</v>
      </c>
      <c r="F967" s="36">
        <v>0</v>
      </c>
      <c r="G967" s="35" t="s">
        <v>2767</v>
      </c>
      <c r="H967" s="35" t="s">
        <v>2769</v>
      </c>
    </row>
    <row r="968" spans="1:8" ht="23.1" thickBot="1" x14ac:dyDescent="0.6">
      <c r="A968" s="44" t="s">
        <v>7696</v>
      </c>
      <c r="B968" s="37" t="s">
        <v>6492</v>
      </c>
      <c r="C968" s="35" t="s">
        <v>6770</v>
      </c>
      <c r="D968" s="35" t="s">
        <v>7697</v>
      </c>
      <c r="E968" s="35" t="s">
        <v>2770</v>
      </c>
      <c r="F968" s="36">
        <v>0</v>
      </c>
      <c r="G968" s="35" t="s">
        <v>2771</v>
      </c>
      <c r="H968" s="35" t="s">
        <v>2773</v>
      </c>
    </row>
    <row r="969" spans="1:8" ht="23.1" thickBot="1" x14ac:dyDescent="0.6">
      <c r="A969" s="44" t="s">
        <v>7698</v>
      </c>
      <c r="B969" s="37" t="s">
        <v>6424</v>
      </c>
      <c r="C969" s="35" t="s">
        <v>6796</v>
      </c>
      <c r="D969" s="35" t="s">
        <v>7699</v>
      </c>
      <c r="E969" s="35" t="s">
        <v>2774</v>
      </c>
      <c r="F969" s="36">
        <v>0</v>
      </c>
      <c r="G969" s="35" t="s">
        <v>2775</v>
      </c>
      <c r="H969" s="35" t="s">
        <v>2777</v>
      </c>
    </row>
    <row r="970" spans="1:8" ht="14.7" thickBot="1" x14ac:dyDescent="0.6">
      <c r="A970" s="44"/>
      <c r="B970" s="37"/>
      <c r="C970" s="35" t="s">
        <v>6770</v>
      </c>
      <c r="D970" s="35" t="s">
        <v>7700</v>
      </c>
      <c r="E970" s="35"/>
      <c r="F970" s="36"/>
      <c r="G970" s="35"/>
      <c r="H970" s="35"/>
    </row>
    <row r="971" spans="1:8" ht="23.1" thickBot="1" x14ac:dyDescent="0.6">
      <c r="A971" s="44" t="s">
        <v>7701</v>
      </c>
      <c r="B971" s="37" t="s">
        <v>6518</v>
      </c>
      <c r="C971" s="35" t="s">
        <v>6796</v>
      </c>
      <c r="D971" s="35" t="s">
        <v>7702</v>
      </c>
      <c r="E971" s="35" t="s">
        <v>2778</v>
      </c>
      <c r="F971" s="36">
        <v>0</v>
      </c>
      <c r="G971" s="35" t="s">
        <v>2779</v>
      </c>
      <c r="H971" s="35" t="s">
        <v>2781</v>
      </c>
    </row>
    <row r="972" spans="1:8" ht="23.1" thickBot="1" x14ac:dyDescent="0.6">
      <c r="A972" s="44" t="s">
        <v>7703</v>
      </c>
      <c r="B972" s="37" t="s">
        <v>6519</v>
      </c>
      <c r="C972" s="35" t="s">
        <v>6791</v>
      </c>
      <c r="D972" s="35" t="s">
        <v>7704</v>
      </c>
      <c r="E972" s="35" t="s">
        <v>2782</v>
      </c>
      <c r="F972" s="36">
        <v>0</v>
      </c>
      <c r="G972" s="35" t="s">
        <v>2783</v>
      </c>
      <c r="H972" s="35" t="s">
        <v>2785</v>
      </c>
    </row>
    <row r="973" spans="1:8" ht="23.1" thickBot="1" x14ac:dyDescent="0.6">
      <c r="A973" s="44" t="s">
        <v>7705</v>
      </c>
      <c r="B973" s="37" t="s">
        <v>6521</v>
      </c>
      <c r="C973" s="35" t="s">
        <v>6770</v>
      </c>
      <c r="D973" s="35" t="s">
        <v>7706</v>
      </c>
      <c r="E973" s="35" t="s">
        <v>2786</v>
      </c>
      <c r="F973" s="36">
        <v>0</v>
      </c>
      <c r="G973" s="35" t="s">
        <v>2787</v>
      </c>
      <c r="H973" s="35" t="s">
        <v>2789</v>
      </c>
    </row>
    <row r="974" spans="1:8" ht="23.1" thickBot="1" x14ac:dyDescent="0.6">
      <c r="A974" s="44"/>
      <c r="B974" s="37"/>
      <c r="C974" s="35" t="s">
        <v>6777</v>
      </c>
      <c r="D974" s="35" t="s">
        <v>7707</v>
      </c>
      <c r="E974" s="35" t="s">
        <v>2790</v>
      </c>
      <c r="F974" s="36">
        <v>0</v>
      </c>
      <c r="G974" s="35" t="s">
        <v>2791</v>
      </c>
      <c r="H974" s="35" t="s">
        <v>2793</v>
      </c>
    </row>
    <row r="975" spans="1:8" ht="14.7" thickBot="1" x14ac:dyDescent="0.6">
      <c r="A975" s="44"/>
      <c r="B975" s="37"/>
      <c r="C975" s="35" t="s">
        <v>6778</v>
      </c>
      <c r="D975" s="35" t="s">
        <v>7708</v>
      </c>
      <c r="E975" s="35"/>
      <c r="F975" s="36"/>
      <c r="G975" s="35"/>
      <c r="H975" s="35"/>
    </row>
    <row r="976" spans="1:8" ht="23.1" thickBot="1" x14ac:dyDescent="0.6">
      <c r="A976" s="44" t="s">
        <v>7709</v>
      </c>
      <c r="B976" s="37" t="s">
        <v>6601</v>
      </c>
      <c r="C976" s="35" t="s">
        <v>6770</v>
      </c>
      <c r="D976" s="35" t="s">
        <v>7710</v>
      </c>
      <c r="E976" s="35" t="s">
        <v>2794</v>
      </c>
      <c r="F976" s="36">
        <v>0</v>
      </c>
      <c r="G976" s="35" t="s">
        <v>2795</v>
      </c>
      <c r="H976" s="35" t="s">
        <v>2797</v>
      </c>
    </row>
    <row r="977" spans="1:8" ht="23.1" thickBot="1" x14ac:dyDescent="0.6">
      <c r="A977" s="44" t="s">
        <v>7711</v>
      </c>
      <c r="B977" s="37" t="s">
        <v>6517</v>
      </c>
      <c r="C977" s="35" t="s">
        <v>6770</v>
      </c>
      <c r="D977" s="35" t="s">
        <v>7712</v>
      </c>
      <c r="E977" s="35" t="s">
        <v>2798</v>
      </c>
      <c r="F977" s="36">
        <v>0</v>
      </c>
      <c r="G977" s="35" t="s">
        <v>2799</v>
      </c>
      <c r="H977" s="35" t="s">
        <v>2801</v>
      </c>
    </row>
    <row r="978" spans="1:8" ht="23.1" thickBot="1" x14ac:dyDescent="0.6">
      <c r="A978" s="44" t="s">
        <v>7713</v>
      </c>
      <c r="B978" s="37" t="s">
        <v>6661</v>
      </c>
      <c r="C978" s="35" t="s">
        <v>6770</v>
      </c>
      <c r="D978" s="35" t="s">
        <v>7714</v>
      </c>
      <c r="E978" s="35" t="s">
        <v>2802</v>
      </c>
      <c r="F978" s="36">
        <v>0</v>
      </c>
      <c r="G978" s="35" t="s">
        <v>2803</v>
      </c>
      <c r="H978" s="35" t="s">
        <v>2805</v>
      </c>
    </row>
    <row r="979" spans="1:8" ht="23.1" thickBot="1" x14ac:dyDescent="0.6">
      <c r="A979" s="44"/>
      <c r="B979" s="37"/>
      <c r="C979" s="35"/>
      <c r="D979" s="35"/>
      <c r="E979" s="35" t="s">
        <v>2806</v>
      </c>
      <c r="F979" s="36">
        <v>0</v>
      </c>
      <c r="G979" s="35" t="s">
        <v>2807</v>
      </c>
      <c r="H979" s="35" t="s">
        <v>2809</v>
      </c>
    </row>
    <row r="980" spans="1:8" ht="23.1" thickBot="1" x14ac:dyDescent="0.6">
      <c r="A980" s="44" t="s">
        <v>7715</v>
      </c>
      <c r="B980" s="37" t="s">
        <v>6707</v>
      </c>
      <c r="C980" s="35" t="s">
        <v>6781</v>
      </c>
      <c r="D980" s="35" t="s">
        <v>7716</v>
      </c>
      <c r="E980" s="35" t="s">
        <v>2810</v>
      </c>
      <c r="F980" s="36">
        <v>0</v>
      </c>
      <c r="G980" s="35" t="s">
        <v>2811</v>
      </c>
      <c r="H980" s="35" t="s">
        <v>2813</v>
      </c>
    </row>
    <row r="981" spans="1:8" ht="23.1" thickBot="1" x14ac:dyDescent="0.6">
      <c r="A981" s="44"/>
      <c r="B981" s="37"/>
      <c r="C981" s="35"/>
      <c r="D981" s="35"/>
      <c r="E981" s="35" t="s">
        <v>2814</v>
      </c>
      <c r="F981" s="36">
        <v>0</v>
      </c>
      <c r="G981" s="35" t="s">
        <v>2815</v>
      </c>
      <c r="H981" s="35" t="s">
        <v>2817</v>
      </c>
    </row>
    <row r="982" spans="1:8" ht="23.1" thickBot="1" x14ac:dyDescent="0.6">
      <c r="A982" s="44"/>
      <c r="B982" s="37"/>
      <c r="C982" s="35"/>
      <c r="D982" s="35"/>
      <c r="E982" s="35" t="s">
        <v>2818</v>
      </c>
      <c r="F982" s="36">
        <v>0</v>
      </c>
      <c r="G982" s="35" t="s">
        <v>2819</v>
      </c>
      <c r="H982" s="35" t="s">
        <v>2821</v>
      </c>
    </row>
    <row r="983" spans="1:8" ht="23.1" thickBot="1" x14ac:dyDescent="0.6">
      <c r="A983" s="44"/>
      <c r="B983" s="37"/>
      <c r="C983" s="35"/>
      <c r="D983" s="35"/>
      <c r="E983" s="35" t="s">
        <v>2822</v>
      </c>
      <c r="F983" s="36">
        <v>0</v>
      </c>
      <c r="G983" s="35" t="s">
        <v>2823</v>
      </c>
      <c r="H983" s="35" t="s">
        <v>2825</v>
      </c>
    </row>
    <row r="984" spans="1:8" ht="23.1" thickBot="1" x14ac:dyDescent="0.6">
      <c r="A984" s="44" t="s">
        <v>7717</v>
      </c>
      <c r="B984" s="37" t="s">
        <v>6453</v>
      </c>
      <c r="C984" s="35" t="s">
        <v>6804</v>
      </c>
      <c r="D984" s="35" t="s">
        <v>7718</v>
      </c>
      <c r="E984" s="35" t="s">
        <v>2826</v>
      </c>
      <c r="F984" s="36">
        <v>0</v>
      </c>
      <c r="G984" s="35" t="s">
        <v>2827</v>
      </c>
      <c r="H984" s="35" t="s">
        <v>2829</v>
      </c>
    </row>
    <row r="985" spans="1:8" ht="23.1" thickBot="1" x14ac:dyDescent="0.6">
      <c r="A985" s="44"/>
      <c r="B985" s="37"/>
      <c r="C985" s="35"/>
      <c r="D985" s="35"/>
      <c r="E985" s="35" t="s">
        <v>2830</v>
      </c>
      <c r="F985" s="36">
        <v>0</v>
      </c>
      <c r="G985" s="35" t="s">
        <v>2831</v>
      </c>
      <c r="H985" s="35" t="s">
        <v>2833</v>
      </c>
    </row>
    <row r="986" spans="1:8" ht="23.1" thickBot="1" x14ac:dyDescent="0.6">
      <c r="A986" s="44"/>
      <c r="B986" s="37"/>
      <c r="C986" s="35"/>
      <c r="D986" s="35"/>
      <c r="E986" s="35" t="s">
        <v>2834</v>
      </c>
      <c r="F986" s="36">
        <v>0</v>
      </c>
      <c r="G986" s="35" t="s">
        <v>2835</v>
      </c>
      <c r="H986" s="35" t="s">
        <v>2837</v>
      </c>
    </row>
    <row r="987" spans="1:8" ht="23.1" thickBot="1" x14ac:dyDescent="0.6">
      <c r="A987" s="44"/>
      <c r="B987" s="37"/>
      <c r="C987" s="35"/>
      <c r="D987" s="35"/>
      <c r="E987" s="35" t="s">
        <v>2838</v>
      </c>
      <c r="F987" s="36">
        <v>0</v>
      </c>
      <c r="G987" s="35" t="s">
        <v>2839</v>
      </c>
      <c r="H987" s="35" t="s">
        <v>2841</v>
      </c>
    </row>
    <row r="988" spans="1:8" ht="23.1" thickBot="1" x14ac:dyDescent="0.6">
      <c r="A988" s="44" t="s">
        <v>7719</v>
      </c>
      <c r="B988" s="37" t="s">
        <v>6669</v>
      </c>
      <c r="C988" s="35" t="s">
        <v>6833</v>
      </c>
      <c r="D988" s="35" t="s">
        <v>7720</v>
      </c>
      <c r="E988" s="35" t="s">
        <v>2842</v>
      </c>
      <c r="F988" s="36">
        <v>0</v>
      </c>
      <c r="G988" s="35" t="s">
        <v>2843</v>
      </c>
      <c r="H988" s="35" t="s">
        <v>2845</v>
      </c>
    </row>
    <row r="989" spans="1:8" ht="23.1" thickBot="1" x14ac:dyDescent="0.6">
      <c r="A989" s="44"/>
      <c r="B989" s="37"/>
      <c r="C989" s="35"/>
      <c r="D989" s="35"/>
      <c r="E989" s="35" t="s">
        <v>2846</v>
      </c>
      <c r="F989" s="36">
        <v>0</v>
      </c>
      <c r="G989" s="35" t="s">
        <v>2847</v>
      </c>
      <c r="H989" s="35" t="s">
        <v>2849</v>
      </c>
    </row>
    <row r="990" spans="1:8" ht="23.1" thickBot="1" x14ac:dyDescent="0.6">
      <c r="A990" s="44"/>
      <c r="B990" s="37"/>
      <c r="C990" s="35"/>
      <c r="D990" s="35"/>
      <c r="E990" s="35" t="s">
        <v>2850</v>
      </c>
      <c r="F990" s="36">
        <v>0</v>
      </c>
      <c r="G990" s="35" t="s">
        <v>2851</v>
      </c>
      <c r="H990" s="35" t="s">
        <v>2853</v>
      </c>
    </row>
    <row r="991" spans="1:8" ht="23.1" thickBot="1" x14ac:dyDescent="0.6">
      <c r="A991" s="44"/>
      <c r="B991" s="37"/>
      <c r="C991" s="35"/>
      <c r="D991" s="35"/>
      <c r="E991" s="35" t="s">
        <v>2854</v>
      </c>
      <c r="F991" s="36">
        <v>0</v>
      </c>
      <c r="G991" s="35" t="s">
        <v>2855</v>
      </c>
      <c r="H991" s="35" t="s">
        <v>2857</v>
      </c>
    </row>
    <row r="992" spans="1:8" ht="23.1" thickBot="1" x14ac:dyDescent="0.6">
      <c r="A992" s="44"/>
      <c r="B992" s="37"/>
      <c r="C992" s="35"/>
      <c r="D992" s="35"/>
      <c r="E992" s="35" t="s">
        <v>2860</v>
      </c>
      <c r="F992" s="36">
        <v>0</v>
      </c>
      <c r="G992" s="35" t="s">
        <v>2858</v>
      </c>
      <c r="H992" s="35" t="s">
        <v>2859</v>
      </c>
    </row>
    <row r="993" spans="1:8" ht="23.1" thickBot="1" x14ac:dyDescent="0.6">
      <c r="A993" s="44"/>
      <c r="B993" s="37"/>
      <c r="C993" s="35"/>
      <c r="D993" s="35"/>
      <c r="E993" s="35" t="s">
        <v>2862</v>
      </c>
      <c r="F993" s="36">
        <v>1</v>
      </c>
      <c r="G993" s="35" t="s">
        <v>2863</v>
      </c>
      <c r="H993" s="35" t="s">
        <v>2859</v>
      </c>
    </row>
    <row r="994" spans="1:8" ht="23.1" thickBot="1" x14ac:dyDescent="0.6">
      <c r="A994" s="44"/>
      <c r="B994" s="37"/>
      <c r="C994" s="35"/>
      <c r="D994" s="35"/>
      <c r="E994" s="35" t="s">
        <v>2865</v>
      </c>
      <c r="F994" s="36">
        <v>2</v>
      </c>
      <c r="G994" s="35" t="s">
        <v>2866</v>
      </c>
      <c r="H994" s="35" t="s">
        <v>2859</v>
      </c>
    </row>
    <row r="995" spans="1:8" ht="23.1" thickBot="1" x14ac:dyDescent="0.6">
      <c r="A995" s="44" t="s">
        <v>7721</v>
      </c>
      <c r="B995" s="37" t="s">
        <v>6368</v>
      </c>
      <c r="C995" s="35" t="s">
        <v>6770</v>
      </c>
      <c r="D995" s="35" t="s">
        <v>7722</v>
      </c>
      <c r="E995" s="35" t="s">
        <v>2868</v>
      </c>
      <c r="F995" s="36">
        <v>0</v>
      </c>
      <c r="G995" s="35" t="s">
        <v>2869</v>
      </c>
      <c r="H995" s="35" t="s">
        <v>2871</v>
      </c>
    </row>
    <row r="996" spans="1:8" ht="23.1" thickBot="1" x14ac:dyDescent="0.6">
      <c r="A996" s="44"/>
      <c r="B996" s="37"/>
      <c r="C996" s="35"/>
      <c r="D996" s="35"/>
      <c r="E996" s="35" t="s">
        <v>2872</v>
      </c>
      <c r="F996" s="36">
        <v>0</v>
      </c>
      <c r="G996" s="35" t="s">
        <v>2873</v>
      </c>
      <c r="H996" s="35" t="s">
        <v>2875</v>
      </c>
    </row>
    <row r="997" spans="1:8" ht="23.1" thickBot="1" x14ac:dyDescent="0.6">
      <c r="A997" s="44" t="s">
        <v>7723</v>
      </c>
      <c r="B997" s="37" t="s">
        <v>6662</v>
      </c>
      <c r="C997" s="35" t="s">
        <v>6770</v>
      </c>
      <c r="D997" s="35" t="s">
        <v>7724</v>
      </c>
      <c r="E997" s="35" t="s">
        <v>2876</v>
      </c>
      <c r="F997" s="36">
        <v>0</v>
      </c>
      <c r="G997" s="35" t="s">
        <v>2877</v>
      </c>
      <c r="H997" s="35" t="s">
        <v>2879</v>
      </c>
    </row>
    <row r="998" spans="1:8" ht="23.1" thickBot="1" x14ac:dyDescent="0.6">
      <c r="A998" s="44"/>
      <c r="B998" s="37"/>
      <c r="C998" s="35"/>
      <c r="D998" s="35"/>
      <c r="E998" s="35" t="s">
        <v>2880</v>
      </c>
      <c r="F998" s="36">
        <v>0</v>
      </c>
      <c r="G998" s="35" t="s">
        <v>2881</v>
      </c>
      <c r="H998" s="35" t="s">
        <v>2883</v>
      </c>
    </row>
    <row r="999" spans="1:8" ht="23.1" thickBot="1" x14ac:dyDescent="0.6">
      <c r="A999" s="44"/>
      <c r="B999" s="37"/>
      <c r="C999" s="35"/>
      <c r="D999" s="35"/>
      <c r="E999" s="35" t="s">
        <v>2884</v>
      </c>
      <c r="F999" s="36">
        <v>0</v>
      </c>
      <c r="G999" s="35" t="s">
        <v>2885</v>
      </c>
      <c r="H999" s="35" t="s">
        <v>2887</v>
      </c>
    </row>
    <row r="1000" spans="1:8" ht="23.1" thickBot="1" x14ac:dyDescent="0.6">
      <c r="A1000" s="44"/>
      <c r="B1000" s="37"/>
      <c r="C1000" s="35"/>
      <c r="D1000" s="35"/>
      <c r="E1000" s="35" t="s">
        <v>2888</v>
      </c>
      <c r="F1000" s="36">
        <v>0</v>
      </c>
      <c r="G1000" s="35" t="s">
        <v>2889</v>
      </c>
      <c r="H1000" s="35" t="s">
        <v>2891</v>
      </c>
    </row>
    <row r="1001" spans="1:8" ht="23.1" thickBot="1" x14ac:dyDescent="0.6">
      <c r="A1001" s="44"/>
      <c r="B1001" s="37"/>
      <c r="C1001" s="35"/>
      <c r="D1001" s="35"/>
      <c r="E1001" s="35" t="s">
        <v>2892</v>
      </c>
      <c r="F1001" s="36">
        <v>0</v>
      </c>
      <c r="G1001" s="35" t="s">
        <v>2885</v>
      </c>
      <c r="H1001" s="35" t="s">
        <v>2894</v>
      </c>
    </row>
    <row r="1002" spans="1:8" ht="23.1" thickBot="1" x14ac:dyDescent="0.6">
      <c r="A1002" s="44"/>
      <c r="B1002" s="37"/>
      <c r="C1002" s="35"/>
      <c r="D1002" s="35"/>
      <c r="E1002" s="35" t="s">
        <v>2895</v>
      </c>
      <c r="F1002" s="36">
        <v>0</v>
      </c>
      <c r="G1002" s="35" t="s">
        <v>2896</v>
      </c>
      <c r="H1002" s="35" t="s">
        <v>2898</v>
      </c>
    </row>
    <row r="1003" spans="1:8" ht="14.7" thickBot="1" x14ac:dyDescent="0.6">
      <c r="A1003" s="44" t="s">
        <v>7725</v>
      </c>
      <c r="B1003" s="37" t="s">
        <v>6675</v>
      </c>
      <c r="C1003" s="35" t="s">
        <v>6796</v>
      </c>
      <c r="D1003" s="35" t="s">
        <v>7726</v>
      </c>
      <c r="E1003" s="35" t="s">
        <v>2899</v>
      </c>
      <c r="F1003" s="36">
        <v>0</v>
      </c>
      <c r="G1003" s="35" t="s">
        <v>2900</v>
      </c>
      <c r="H1003" s="35" t="s">
        <v>2902</v>
      </c>
    </row>
    <row r="1004" spans="1:8" ht="14.7" thickBot="1" x14ac:dyDescent="0.6">
      <c r="A1004" s="44" t="s">
        <v>7727</v>
      </c>
      <c r="B1004" s="37" t="s">
        <v>6407</v>
      </c>
      <c r="C1004" s="35" t="s">
        <v>6765</v>
      </c>
      <c r="D1004" s="35" t="s">
        <v>7728</v>
      </c>
      <c r="E1004" s="35"/>
      <c r="F1004" s="36"/>
      <c r="G1004" s="35"/>
      <c r="H1004" s="35"/>
    </row>
    <row r="1005" spans="1:8" ht="14.7" thickBot="1" x14ac:dyDescent="0.6">
      <c r="A1005" s="44" t="s">
        <v>7729</v>
      </c>
      <c r="B1005" s="37" t="s">
        <v>6408</v>
      </c>
      <c r="C1005" s="35" t="s">
        <v>6791</v>
      </c>
      <c r="D1005" s="35" t="s">
        <v>7730</v>
      </c>
      <c r="E1005" s="35"/>
      <c r="F1005" s="36"/>
      <c r="G1005" s="35"/>
      <c r="H1005" s="35"/>
    </row>
    <row r="1006" spans="1:8" ht="23.1" thickBot="1" x14ac:dyDescent="0.6">
      <c r="A1006" s="44"/>
      <c r="B1006" s="37"/>
      <c r="C1006" s="35"/>
      <c r="D1006" s="35"/>
      <c r="E1006" s="35" t="s">
        <v>2903</v>
      </c>
      <c r="F1006" s="36">
        <v>0</v>
      </c>
      <c r="G1006" s="35" t="s">
        <v>2904</v>
      </c>
      <c r="H1006" s="35" t="s">
        <v>2906</v>
      </c>
    </row>
    <row r="1007" spans="1:8" ht="23.1" thickBot="1" x14ac:dyDescent="0.6">
      <c r="A1007" s="44"/>
      <c r="B1007" s="37"/>
      <c r="C1007" s="35"/>
      <c r="D1007" s="35"/>
      <c r="E1007" s="35" t="s">
        <v>2907</v>
      </c>
      <c r="F1007" s="36">
        <v>0</v>
      </c>
      <c r="G1007" s="35" t="s">
        <v>2908</v>
      </c>
      <c r="H1007" s="35" t="s">
        <v>2910</v>
      </c>
    </row>
    <row r="1008" spans="1:8" ht="23.1" thickBot="1" x14ac:dyDescent="0.6">
      <c r="A1008" s="44"/>
      <c r="B1008" s="37"/>
      <c r="C1008" s="35"/>
      <c r="D1008" s="35"/>
      <c r="E1008" s="35" t="s">
        <v>2911</v>
      </c>
      <c r="F1008" s="36">
        <v>0</v>
      </c>
      <c r="G1008" s="35" t="s">
        <v>2912</v>
      </c>
      <c r="H1008" s="35" t="s">
        <v>2914</v>
      </c>
    </row>
    <row r="1009" spans="1:8" ht="23.1" thickBot="1" x14ac:dyDescent="0.6">
      <c r="A1009" s="44" t="s">
        <v>7731</v>
      </c>
      <c r="B1009" s="37" t="s">
        <v>6425</v>
      </c>
      <c r="C1009" s="35" t="s">
        <v>6796</v>
      </c>
      <c r="D1009" s="35" t="s">
        <v>7732</v>
      </c>
      <c r="E1009" s="35" t="s">
        <v>2915</v>
      </c>
      <c r="F1009" s="36">
        <v>0</v>
      </c>
      <c r="G1009" s="35" t="s">
        <v>2912</v>
      </c>
      <c r="H1009" s="35" t="s">
        <v>2917</v>
      </c>
    </row>
    <row r="1010" spans="1:8" ht="23.1" thickBot="1" x14ac:dyDescent="0.6">
      <c r="A1010" s="44"/>
      <c r="B1010" s="37"/>
      <c r="C1010" s="35" t="s">
        <v>6770</v>
      </c>
      <c r="D1010" s="35" t="s">
        <v>7733</v>
      </c>
      <c r="E1010" s="35" t="s">
        <v>2915</v>
      </c>
      <c r="F1010" s="36">
        <v>0</v>
      </c>
      <c r="G1010" s="35" t="s">
        <v>2912</v>
      </c>
      <c r="H1010" s="35" t="s">
        <v>2917</v>
      </c>
    </row>
    <row r="1011" spans="1:8" ht="23.1" thickBot="1" x14ac:dyDescent="0.6">
      <c r="A1011" s="44" t="s">
        <v>7734</v>
      </c>
      <c r="B1011" s="37" t="s">
        <v>6431</v>
      </c>
      <c r="C1011" s="35" t="s">
        <v>6796</v>
      </c>
      <c r="D1011" s="35" t="s">
        <v>7735</v>
      </c>
      <c r="E1011" s="35" t="s">
        <v>2918</v>
      </c>
      <c r="F1011" s="36">
        <v>0</v>
      </c>
      <c r="G1011" s="35" t="s">
        <v>2919</v>
      </c>
      <c r="H1011" s="35" t="s">
        <v>2921</v>
      </c>
    </row>
    <row r="1012" spans="1:8" ht="23.1" thickBot="1" x14ac:dyDescent="0.6">
      <c r="A1012" s="44" t="s">
        <v>7736</v>
      </c>
      <c r="B1012" s="37" t="s">
        <v>6432</v>
      </c>
      <c r="C1012" s="35" t="s">
        <v>6796</v>
      </c>
      <c r="D1012" s="35" t="s">
        <v>7737</v>
      </c>
      <c r="E1012" s="35" t="s">
        <v>2922</v>
      </c>
      <c r="F1012" s="36">
        <v>0</v>
      </c>
      <c r="G1012" s="35" t="s">
        <v>2923</v>
      </c>
      <c r="H1012" s="35" t="s">
        <v>2925</v>
      </c>
    </row>
    <row r="1013" spans="1:8" ht="23.1" thickBot="1" x14ac:dyDescent="0.6">
      <c r="A1013" s="44"/>
      <c r="B1013" s="37"/>
      <c r="C1013" s="35"/>
      <c r="D1013" s="35"/>
      <c r="E1013" s="35" t="s">
        <v>2926</v>
      </c>
      <c r="F1013" s="36">
        <v>0</v>
      </c>
      <c r="G1013" s="35" t="s">
        <v>2927</v>
      </c>
      <c r="H1013" s="35" t="s">
        <v>2929</v>
      </c>
    </row>
    <row r="1014" spans="1:8" ht="23.1" thickBot="1" x14ac:dyDescent="0.6">
      <c r="A1014" s="44" t="s">
        <v>7738</v>
      </c>
      <c r="B1014" s="37" t="s">
        <v>6436</v>
      </c>
      <c r="C1014" s="35" t="s">
        <v>6795</v>
      </c>
      <c r="D1014" s="35" t="s">
        <v>7739</v>
      </c>
      <c r="E1014" s="35" t="s">
        <v>2930</v>
      </c>
      <c r="F1014" s="36">
        <v>0</v>
      </c>
      <c r="G1014" s="35" t="s">
        <v>2931</v>
      </c>
      <c r="H1014" s="35" t="s">
        <v>2933</v>
      </c>
    </row>
    <row r="1015" spans="1:8" ht="23.1" thickBot="1" x14ac:dyDescent="0.6">
      <c r="A1015" s="44"/>
      <c r="B1015" s="37"/>
      <c r="C1015" s="35" t="s">
        <v>6770</v>
      </c>
      <c r="D1015" s="35" t="s">
        <v>7740</v>
      </c>
      <c r="E1015" s="35" t="s">
        <v>2930</v>
      </c>
      <c r="F1015" s="36">
        <v>0</v>
      </c>
      <c r="G1015" s="35" t="s">
        <v>2931</v>
      </c>
      <c r="H1015" s="35" t="s">
        <v>2933</v>
      </c>
    </row>
    <row r="1016" spans="1:8" ht="23.1" thickBot="1" x14ac:dyDescent="0.6">
      <c r="A1016" s="44" t="s">
        <v>7741</v>
      </c>
      <c r="B1016" s="37" t="s">
        <v>6454</v>
      </c>
      <c r="C1016" s="35" t="s">
        <v>6796</v>
      </c>
      <c r="D1016" s="35" t="s">
        <v>7742</v>
      </c>
      <c r="E1016" s="35" t="s">
        <v>2934</v>
      </c>
      <c r="F1016" s="36">
        <v>0</v>
      </c>
      <c r="G1016" s="35" t="s">
        <v>2935</v>
      </c>
      <c r="H1016" s="35" t="s">
        <v>2937</v>
      </c>
    </row>
    <row r="1017" spans="1:8" ht="23.1" thickBot="1" x14ac:dyDescent="0.6">
      <c r="A1017" s="44"/>
      <c r="B1017" s="37"/>
      <c r="C1017" s="35" t="s">
        <v>6770</v>
      </c>
      <c r="D1017" s="35" t="s">
        <v>7743</v>
      </c>
      <c r="E1017" s="35" t="s">
        <v>2934</v>
      </c>
      <c r="F1017" s="36">
        <v>0</v>
      </c>
      <c r="G1017" s="35" t="s">
        <v>2935</v>
      </c>
      <c r="H1017" s="35" t="s">
        <v>2937</v>
      </c>
    </row>
    <row r="1018" spans="1:8" ht="23.1" thickBot="1" x14ac:dyDescent="0.6">
      <c r="A1018" s="44" t="s">
        <v>7744</v>
      </c>
      <c r="B1018" s="37" t="s">
        <v>6459</v>
      </c>
      <c r="C1018" s="35" t="s">
        <v>6796</v>
      </c>
      <c r="D1018" s="35" t="s">
        <v>7745</v>
      </c>
      <c r="E1018" s="35" t="s">
        <v>2938</v>
      </c>
      <c r="F1018" s="36">
        <v>0</v>
      </c>
      <c r="G1018" s="35" t="s">
        <v>2939</v>
      </c>
      <c r="H1018" s="35" t="s">
        <v>2941</v>
      </c>
    </row>
    <row r="1019" spans="1:8" ht="23.1" thickBot="1" x14ac:dyDescent="0.6">
      <c r="A1019" s="44" t="s">
        <v>7746</v>
      </c>
      <c r="B1019" s="37" t="s">
        <v>6489</v>
      </c>
      <c r="C1019" s="35" t="s">
        <v>6796</v>
      </c>
      <c r="D1019" s="35" t="s">
        <v>7747</v>
      </c>
      <c r="E1019" s="35" t="s">
        <v>2942</v>
      </c>
      <c r="F1019" s="36">
        <v>0</v>
      </c>
      <c r="G1019" s="35" t="s">
        <v>2943</v>
      </c>
      <c r="H1019" s="35" t="s">
        <v>2945</v>
      </c>
    </row>
    <row r="1020" spans="1:8" ht="23.1" thickBot="1" x14ac:dyDescent="0.6">
      <c r="A1020" s="44" t="s">
        <v>7748</v>
      </c>
      <c r="B1020" s="37" t="s">
        <v>6491</v>
      </c>
      <c r="C1020" s="35" t="s">
        <v>6791</v>
      </c>
      <c r="D1020" s="35" t="s">
        <v>7749</v>
      </c>
      <c r="E1020" s="35" t="s">
        <v>2946</v>
      </c>
      <c r="F1020" s="36">
        <v>0</v>
      </c>
      <c r="G1020" s="35" t="s">
        <v>2947</v>
      </c>
      <c r="H1020" s="35" t="s">
        <v>2949</v>
      </c>
    </row>
    <row r="1021" spans="1:8" ht="23.1" thickBot="1" x14ac:dyDescent="0.6">
      <c r="A1021" s="44"/>
      <c r="B1021" s="37"/>
      <c r="C1021" s="35" t="s">
        <v>6770</v>
      </c>
      <c r="D1021" s="35" t="s">
        <v>7750</v>
      </c>
      <c r="E1021" s="35" t="s">
        <v>2946</v>
      </c>
      <c r="F1021" s="36">
        <v>0</v>
      </c>
      <c r="G1021" s="35" t="s">
        <v>2947</v>
      </c>
      <c r="H1021" s="35" t="s">
        <v>2949</v>
      </c>
    </row>
    <row r="1022" spans="1:8" ht="23.1" thickBot="1" x14ac:dyDescent="0.6">
      <c r="A1022" s="44"/>
      <c r="B1022" s="37"/>
      <c r="C1022" s="35"/>
      <c r="D1022" s="35"/>
      <c r="E1022" s="35" t="s">
        <v>2950</v>
      </c>
      <c r="F1022" s="36">
        <v>0</v>
      </c>
      <c r="G1022" s="35" t="s">
        <v>2951</v>
      </c>
      <c r="H1022" s="35" t="s">
        <v>2953</v>
      </c>
    </row>
    <row r="1023" spans="1:8" ht="23.1" thickBot="1" x14ac:dyDescent="0.6">
      <c r="A1023" s="44" t="s">
        <v>7751</v>
      </c>
      <c r="B1023" s="37" t="s">
        <v>6574</v>
      </c>
      <c r="C1023" s="35" t="s">
        <v>6791</v>
      </c>
      <c r="D1023" s="35" t="s">
        <v>7752</v>
      </c>
      <c r="E1023" s="35" t="s">
        <v>2954</v>
      </c>
      <c r="F1023" s="36">
        <v>0</v>
      </c>
      <c r="G1023" s="35" t="s">
        <v>2955</v>
      </c>
      <c r="H1023" s="35" t="s">
        <v>2957</v>
      </c>
    </row>
    <row r="1024" spans="1:8" ht="23.1" thickBot="1" x14ac:dyDescent="0.6">
      <c r="A1024" s="44"/>
      <c r="B1024" s="37"/>
      <c r="C1024" s="35" t="s">
        <v>6791</v>
      </c>
      <c r="D1024" s="35" t="s">
        <v>7753</v>
      </c>
      <c r="E1024" s="35" t="s">
        <v>2958</v>
      </c>
      <c r="F1024" s="36">
        <v>0</v>
      </c>
      <c r="G1024" s="35" t="s">
        <v>2959</v>
      </c>
      <c r="H1024" s="35" t="s">
        <v>2961</v>
      </c>
    </row>
    <row r="1025" spans="1:8" ht="23.1" thickBot="1" x14ac:dyDescent="0.6">
      <c r="A1025" s="44" t="s">
        <v>7754</v>
      </c>
      <c r="B1025" s="37" t="s">
        <v>6628</v>
      </c>
      <c r="C1025" s="35" t="s">
        <v>6770</v>
      </c>
      <c r="D1025" s="35" t="s">
        <v>7755</v>
      </c>
      <c r="E1025" s="35" t="s">
        <v>2958</v>
      </c>
      <c r="F1025" s="36">
        <v>0</v>
      </c>
      <c r="G1025" s="35" t="s">
        <v>2959</v>
      </c>
      <c r="H1025" s="35" t="s">
        <v>2961</v>
      </c>
    </row>
    <row r="1026" spans="1:8" ht="23.1" thickBot="1" x14ac:dyDescent="0.6">
      <c r="A1026" s="44"/>
      <c r="B1026" s="37"/>
      <c r="C1026" s="35"/>
      <c r="D1026" s="35"/>
      <c r="E1026" s="35" t="s">
        <v>2962</v>
      </c>
      <c r="F1026" s="36">
        <v>0</v>
      </c>
      <c r="G1026" s="35" t="s">
        <v>2963</v>
      </c>
      <c r="H1026" s="35" t="s">
        <v>2965</v>
      </c>
    </row>
    <row r="1027" spans="1:8" ht="23.1" thickBot="1" x14ac:dyDescent="0.6">
      <c r="A1027" s="44" t="s">
        <v>7756</v>
      </c>
      <c r="B1027" s="37" t="s">
        <v>6636</v>
      </c>
      <c r="C1027" s="35" t="s">
        <v>6770</v>
      </c>
      <c r="D1027" s="35" t="s">
        <v>7757</v>
      </c>
      <c r="E1027" s="35" t="s">
        <v>2966</v>
      </c>
      <c r="F1027" s="36">
        <v>0</v>
      </c>
      <c r="G1027" s="35" t="s">
        <v>2967</v>
      </c>
      <c r="H1027" s="35" t="s">
        <v>2969</v>
      </c>
    </row>
    <row r="1028" spans="1:8" ht="23.1" thickBot="1" x14ac:dyDescent="0.6">
      <c r="A1028" s="44"/>
      <c r="B1028" s="37"/>
      <c r="C1028" s="35"/>
      <c r="D1028" s="35"/>
      <c r="E1028" s="35" t="s">
        <v>2970</v>
      </c>
      <c r="F1028" s="36">
        <v>0</v>
      </c>
      <c r="G1028" s="35" t="s">
        <v>2971</v>
      </c>
      <c r="H1028" s="35" t="s">
        <v>2973</v>
      </c>
    </row>
    <row r="1029" spans="1:8" ht="23.1" thickBot="1" x14ac:dyDescent="0.6">
      <c r="A1029" s="44" t="s">
        <v>7758</v>
      </c>
      <c r="B1029" s="37" t="s">
        <v>6720</v>
      </c>
      <c r="C1029" s="35" t="s">
        <v>6791</v>
      </c>
      <c r="D1029" s="35" t="s">
        <v>7759</v>
      </c>
      <c r="E1029" s="35" t="s">
        <v>2974</v>
      </c>
      <c r="F1029" s="36">
        <v>0</v>
      </c>
      <c r="G1029" s="35" t="s">
        <v>2975</v>
      </c>
      <c r="H1029" s="35" t="s">
        <v>2977</v>
      </c>
    </row>
    <row r="1030" spans="1:8" ht="23.1" thickBot="1" x14ac:dyDescent="0.6">
      <c r="A1030" s="44"/>
      <c r="B1030" s="37"/>
      <c r="C1030" s="35" t="s">
        <v>6770</v>
      </c>
      <c r="D1030" s="35" t="s">
        <v>7760</v>
      </c>
      <c r="E1030" s="35" t="s">
        <v>2974</v>
      </c>
      <c r="F1030" s="36">
        <v>0</v>
      </c>
      <c r="G1030" s="35" t="s">
        <v>2975</v>
      </c>
      <c r="H1030" s="35" t="s">
        <v>2977</v>
      </c>
    </row>
    <row r="1031" spans="1:8" ht="23.1" thickBot="1" x14ac:dyDescent="0.6">
      <c r="A1031" s="44"/>
      <c r="B1031" s="37"/>
      <c r="C1031" s="35"/>
      <c r="D1031" s="35"/>
      <c r="E1031" s="35" t="s">
        <v>2978</v>
      </c>
      <c r="F1031" s="36">
        <v>0</v>
      </c>
      <c r="G1031" s="35" t="s">
        <v>2979</v>
      </c>
      <c r="H1031" s="35" t="s">
        <v>2981</v>
      </c>
    </row>
    <row r="1032" spans="1:8" ht="23.1" thickBot="1" x14ac:dyDescent="0.6">
      <c r="A1032" s="44"/>
      <c r="B1032" s="37"/>
      <c r="C1032" s="35" t="s">
        <v>6795</v>
      </c>
      <c r="D1032" s="35" t="s">
        <v>7761</v>
      </c>
      <c r="E1032" s="35" t="s">
        <v>2982</v>
      </c>
      <c r="F1032" s="36">
        <v>0</v>
      </c>
      <c r="G1032" s="35" t="s">
        <v>2983</v>
      </c>
      <c r="H1032" s="35" t="s">
        <v>2985</v>
      </c>
    </row>
    <row r="1033" spans="1:8" ht="23.1" thickBot="1" x14ac:dyDescent="0.6">
      <c r="A1033" s="44"/>
      <c r="B1033" s="37"/>
      <c r="C1033" s="35" t="s">
        <v>6778</v>
      </c>
      <c r="D1033" s="35" t="s">
        <v>7762</v>
      </c>
      <c r="E1033" s="35" t="s">
        <v>2982</v>
      </c>
      <c r="F1033" s="36">
        <v>0</v>
      </c>
      <c r="G1033" s="35" t="s">
        <v>2983</v>
      </c>
      <c r="H1033" s="35" t="s">
        <v>2985</v>
      </c>
    </row>
    <row r="1034" spans="1:8" ht="23.1" thickBot="1" x14ac:dyDescent="0.6">
      <c r="A1034" s="44" t="s">
        <v>7763</v>
      </c>
      <c r="B1034" s="37" t="s">
        <v>6719</v>
      </c>
      <c r="C1034" s="35" t="s">
        <v>6796</v>
      </c>
      <c r="D1034" s="35" t="s">
        <v>7764</v>
      </c>
      <c r="E1034" s="35" t="s">
        <v>2986</v>
      </c>
      <c r="F1034" s="36">
        <v>0</v>
      </c>
      <c r="G1034" s="35" t="s">
        <v>2987</v>
      </c>
      <c r="H1034" s="35" t="s">
        <v>2989</v>
      </c>
    </row>
    <row r="1035" spans="1:8" ht="23.1" thickBot="1" x14ac:dyDescent="0.6">
      <c r="A1035" s="44"/>
      <c r="B1035" s="37"/>
      <c r="C1035" s="35"/>
      <c r="D1035" s="35"/>
      <c r="E1035" s="35" t="s">
        <v>2990</v>
      </c>
      <c r="F1035" s="36">
        <v>0</v>
      </c>
      <c r="G1035" s="35" t="s">
        <v>2991</v>
      </c>
      <c r="H1035" s="35" t="s">
        <v>2993</v>
      </c>
    </row>
    <row r="1036" spans="1:8" ht="23.1" thickBot="1" x14ac:dyDescent="0.6">
      <c r="A1036" s="44"/>
      <c r="B1036" s="37"/>
      <c r="C1036" s="35"/>
      <c r="D1036" s="35"/>
      <c r="E1036" s="35" t="s">
        <v>2994</v>
      </c>
      <c r="F1036" s="36">
        <v>0</v>
      </c>
      <c r="G1036" s="35" t="s">
        <v>2995</v>
      </c>
      <c r="H1036" s="35" t="s">
        <v>2997</v>
      </c>
    </row>
    <row r="1037" spans="1:8" ht="23.1" thickBot="1" x14ac:dyDescent="0.6">
      <c r="A1037" s="44" t="s">
        <v>7765</v>
      </c>
      <c r="B1037" s="37" t="s">
        <v>6538</v>
      </c>
      <c r="C1037" s="35" t="s">
        <v>6770</v>
      </c>
      <c r="D1037" s="35" t="s">
        <v>7766</v>
      </c>
      <c r="E1037" s="35" t="s">
        <v>2998</v>
      </c>
      <c r="F1037" s="36">
        <v>0</v>
      </c>
      <c r="G1037" s="35" t="s">
        <v>2999</v>
      </c>
      <c r="H1037" s="35" t="s">
        <v>3001</v>
      </c>
    </row>
    <row r="1038" spans="1:8" ht="23.1" thickBot="1" x14ac:dyDescent="0.6">
      <c r="A1038" s="44"/>
      <c r="B1038" s="37"/>
      <c r="C1038" s="35"/>
      <c r="D1038" s="35"/>
      <c r="E1038" s="35" t="s">
        <v>3002</v>
      </c>
      <c r="F1038" s="36">
        <v>0</v>
      </c>
      <c r="G1038" s="35" t="s">
        <v>3003</v>
      </c>
      <c r="H1038" s="35" t="s">
        <v>3005</v>
      </c>
    </row>
    <row r="1039" spans="1:8" ht="23.1" thickBot="1" x14ac:dyDescent="0.6">
      <c r="A1039" s="44"/>
      <c r="B1039" s="37"/>
      <c r="C1039" s="35"/>
      <c r="D1039" s="35"/>
      <c r="E1039" s="35" t="s">
        <v>3006</v>
      </c>
      <c r="F1039" s="36">
        <v>0</v>
      </c>
      <c r="G1039" s="35" t="s">
        <v>3007</v>
      </c>
      <c r="H1039" s="35" t="s">
        <v>3009</v>
      </c>
    </row>
    <row r="1040" spans="1:8" ht="23.1" thickBot="1" x14ac:dyDescent="0.6">
      <c r="A1040" s="44"/>
      <c r="B1040" s="37"/>
      <c r="C1040" s="35"/>
      <c r="D1040" s="35"/>
      <c r="E1040" s="35" t="s">
        <v>3010</v>
      </c>
      <c r="F1040" s="36">
        <v>0</v>
      </c>
      <c r="G1040" s="35" t="s">
        <v>3011</v>
      </c>
      <c r="H1040" s="35" t="s">
        <v>3013</v>
      </c>
    </row>
    <row r="1041" spans="1:8" ht="23.1" thickBot="1" x14ac:dyDescent="0.6">
      <c r="A1041" s="44"/>
      <c r="B1041" s="37"/>
      <c r="C1041" s="35"/>
      <c r="D1041" s="35"/>
      <c r="E1041" s="35" t="s">
        <v>3014</v>
      </c>
      <c r="F1041" s="36">
        <v>0</v>
      </c>
      <c r="G1041" s="35" t="s">
        <v>3015</v>
      </c>
      <c r="H1041" s="35" t="s">
        <v>3017</v>
      </c>
    </row>
    <row r="1042" spans="1:8" ht="23.1" thickBot="1" x14ac:dyDescent="0.6">
      <c r="A1042" s="44"/>
      <c r="B1042" s="37"/>
      <c r="C1042" s="35"/>
      <c r="D1042" s="35"/>
      <c r="E1042" s="35" t="s">
        <v>3018</v>
      </c>
      <c r="F1042" s="36">
        <v>0</v>
      </c>
      <c r="G1042" s="35" t="s">
        <v>3019</v>
      </c>
      <c r="H1042" s="35" t="s">
        <v>3021</v>
      </c>
    </row>
    <row r="1043" spans="1:8" ht="23.1" thickBot="1" x14ac:dyDescent="0.6">
      <c r="A1043" s="44"/>
      <c r="B1043" s="37"/>
      <c r="C1043" s="35"/>
      <c r="D1043" s="35"/>
      <c r="E1043" s="35" t="s">
        <v>3022</v>
      </c>
      <c r="F1043" s="36">
        <v>0</v>
      </c>
      <c r="G1043" s="35" t="s">
        <v>3023</v>
      </c>
      <c r="H1043" s="35" t="s">
        <v>3025</v>
      </c>
    </row>
    <row r="1044" spans="1:8" ht="23.1" thickBot="1" x14ac:dyDescent="0.6">
      <c r="A1044" s="44" t="s">
        <v>7767</v>
      </c>
      <c r="B1044" s="37" t="s">
        <v>6427</v>
      </c>
      <c r="C1044" s="35" t="s">
        <v>6774</v>
      </c>
      <c r="D1044" s="35" t="s">
        <v>7768</v>
      </c>
      <c r="E1044" s="35" t="s">
        <v>3028</v>
      </c>
      <c r="F1044" s="36">
        <v>0</v>
      </c>
      <c r="G1044" s="35" t="s">
        <v>3027</v>
      </c>
      <c r="H1044" s="35" t="s">
        <v>3030</v>
      </c>
    </row>
    <row r="1045" spans="1:8" ht="23.1" thickBot="1" x14ac:dyDescent="0.6">
      <c r="A1045" s="44" t="s">
        <v>7769</v>
      </c>
      <c r="B1045" s="37" t="s">
        <v>6506</v>
      </c>
      <c r="C1045" s="35" t="s">
        <v>6793</v>
      </c>
      <c r="D1045" s="35" t="s">
        <v>7770</v>
      </c>
      <c r="E1045" s="35" t="s">
        <v>3031</v>
      </c>
      <c r="F1045" s="36">
        <v>0</v>
      </c>
      <c r="G1045" s="35" t="s">
        <v>3032</v>
      </c>
      <c r="H1045" s="35" t="s">
        <v>3034</v>
      </c>
    </row>
    <row r="1046" spans="1:8" ht="23.1" thickBot="1" x14ac:dyDescent="0.6">
      <c r="A1046" s="44" t="s">
        <v>7771</v>
      </c>
      <c r="B1046" s="37" t="s">
        <v>6600</v>
      </c>
      <c r="C1046" s="35" t="s">
        <v>6774</v>
      </c>
      <c r="D1046" s="35" t="s">
        <v>7772</v>
      </c>
      <c r="E1046" s="35" t="s">
        <v>3035</v>
      </c>
      <c r="F1046" s="36">
        <v>0</v>
      </c>
      <c r="G1046" s="35" t="s">
        <v>3036</v>
      </c>
      <c r="H1046" s="35" t="s">
        <v>3038</v>
      </c>
    </row>
    <row r="1047" spans="1:8" ht="23.1" thickBot="1" x14ac:dyDescent="0.6">
      <c r="A1047" s="44" t="s">
        <v>7773</v>
      </c>
      <c r="B1047" s="37" t="s">
        <v>6381</v>
      </c>
      <c r="C1047" s="35" t="s">
        <v>6769</v>
      </c>
      <c r="D1047" s="35" t="s">
        <v>7774</v>
      </c>
      <c r="E1047" s="35" t="s">
        <v>3039</v>
      </c>
      <c r="F1047" s="36">
        <v>0</v>
      </c>
      <c r="G1047" s="35" t="s">
        <v>3040</v>
      </c>
      <c r="H1047" s="35" t="s">
        <v>3042</v>
      </c>
    </row>
    <row r="1048" spans="1:8" ht="23.1" thickBot="1" x14ac:dyDescent="0.6">
      <c r="A1048" s="44" t="s">
        <v>7775</v>
      </c>
      <c r="B1048" s="37" t="s">
        <v>6588</v>
      </c>
      <c r="C1048" s="35" t="s">
        <v>6826</v>
      </c>
      <c r="D1048" s="35" t="s">
        <v>7776</v>
      </c>
      <c r="E1048" s="35" t="s">
        <v>3043</v>
      </c>
      <c r="F1048" s="36">
        <v>0</v>
      </c>
      <c r="G1048" s="35" t="s">
        <v>3044</v>
      </c>
      <c r="H1048" s="35" t="s">
        <v>3046</v>
      </c>
    </row>
    <row r="1049" spans="1:8" ht="23.1" thickBot="1" x14ac:dyDescent="0.6">
      <c r="A1049" s="44"/>
      <c r="B1049" s="37"/>
      <c r="C1049" s="35" t="s">
        <v>6774</v>
      </c>
      <c r="D1049" s="35" t="s">
        <v>7777</v>
      </c>
      <c r="E1049" s="35" t="s">
        <v>3043</v>
      </c>
      <c r="F1049" s="36">
        <v>0</v>
      </c>
      <c r="G1049" s="35" t="s">
        <v>3044</v>
      </c>
      <c r="H1049" s="35" t="s">
        <v>3046</v>
      </c>
    </row>
    <row r="1050" spans="1:8" ht="23.1" thickBot="1" x14ac:dyDescent="0.6">
      <c r="A1050" s="44" t="s">
        <v>7778</v>
      </c>
      <c r="B1050" s="37" t="s">
        <v>6717</v>
      </c>
      <c r="C1050" s="35" t="s">
        <v>6826</v>
      </c>
      <c r="D1050" s="35" t="s">
        <v>7779</v>
      </c>
      <c r="E1050" s="35" t="s">
        <v>3047</v>
      </c>
      <c r="F1050" s="36">
        <v>0</v>
      </c>
      <c r="G1050" s="35" t="s">
        <v>3048</v>
      </c>
      <c r="H1050" s="35" t="s">
        <v>3050</v>
      </c>
    </row>
    <row r="1051" spans="1:8" ht="23.1" thickBot="1" x14ac:dyDescent="0.6">
      <c r="A1051" s="44"/>
      <c r="B1051" s="37"/>
      <c r="C1051" s="35" t="s">
        <v>6774</v>
      </c>
      <c r="D1051" s="35" t="s">
        <v>7780</v>
      </c>
      <c r="E1051" s="35" t="s">
        <v>3047</v>
      </c>
      <c r="F1051" s="36">
        <v>0</v>
      </c>
      <c r="G1051" s="35" t="s">
        <v>3048</v>
      </c>
      <c r="H1051" s="35" t="s">
        <v>3050</v>
      </c>
    </row>
    <row r="1052" spans="1:8" ht="23.1" thickBot="1" x14ac:dyDescent="0.6">
      <c r="A1052" s="44" t="s">
        <v>7781</v>
      </c>
      <c r="B1052" s="37" t="s">
        <v>6510</v>
      </c>
      <c r="C1052" s="35" t="s">
        <v>6774</v>
      </c>
      <c r="D1052" s="35" t="s">
        <v>7782</v>
      </c>
      <c r="E1052" s="35" t="s">
        <v>3051</v>
      </c>
      <c r="F1052" s="36">
        <v>0</v>
      </c>
      <c r="G1052" s="35" t="s">
        <v>3052</v>
      </c>
      <c r="H1052" s="35" t="s">
        <v>3054</v>
      </c>
    </row>
    <row r="1053" spans="1:8" ht="23.1" thickBot="1" x14ac:dyDescent="0.6">
      <c r="A1053" s="44"/>
      <c r="B1053" s="37"/>
      <c r="C1053" s="35"/>
      <c r="D1053" s="35"/>
      <c r="E1053" s="35" t="s">
        <v>3055</v>
      </c>
      <c r="F1053" s="36">
        <v>0</v>
      </c>
      <c r="G1053" s="35" t="s">
        <v>3056</v>
      </c>
      <c r="H1053" s="35" t="s">
        <v>3058</v>
      </c>
    </row>
    <row r="1054" spans="1:8" ht="23.1" thickBot="1" x14ac:dyDescent="0.6">
      <c r="A1054" s="44" t="s">
        <v>7783</v>
      </c>
      <c r="B1054" s="37" t="s">
        <v>6498</v>
      </c>
      <c r="C1054" s="35" t="s">
        <v>6781</v>
      </c>
      <c r="D1054" s="35" t="s">
        <v>7784</v>
      </c>
      <c r="E1054" s="35" t="s">
        <v>3059</v>
      </c>
      <c r="F1054" s="36">
        <v>0</v>
      </c>
      <c r="G1054" s="35" t="s">
        <v>3060</v>
      </c>
      <c r="H1054" s="35" t="s">
        <v>3062</v>
      </c>
    </row>
    <row r="1055" spans="1:8" ht="23.1" thickBot="1" x14ac:dyDescent="0.6">
      <c r="A1055" s="44"/>
      <c r="B1055" s="37"/>
      <c r="C1055" s="35"/>
      <c r="D1055" s="35"/>
      <c r="E1055" s="35" t="s">
        <v>3063</v>
      </c>
      <c r="F1055" s="36">
        <v>0</v>
      </c>
      <c r="G1055" s="35" t="s">
        <v>3064</v>
      </c>
      <c r="H1055" s="35" t="s">
        <v>3066</v>
      </c>
    </row>
    <row r="1056" spans="1:8" ht="23.1" thickBot="1" x14ac:dyDescent="0.6">
      <c r="A1056" s="44" t="s">
        <v>7785</v>
      </c>
      <c r="B1056" s="37" t="s">
        <v>6695</v>
      </c>
      <c r="C1056" s="35" t="s">
        <v>6781</v>
      </c>
      <c r="D1056" s="35" t="s">
        <v>7786</v>
      </c>
      <c r="E1056" s="35" t="s">
        <v>3067</v>
      </c>
      <c r="F1056" s="36">
        <v>0</v>
      </c>
      <c r="G1056" s="35" t="s">
        <v>3068</v>
      </c>
      <c r="H1056" s="35" t="s">
        <v>3070</v>
      </c>
    </row>
    <row r="1057" spans="1:8" ht="23.1" thickBot="1" x14ac:dyDescent="0.6">
      <c r="A1057" s="44"/>
      <c r="B1057" s="37"/>
      <c r="C1057" s="35"/>
      <c r="D1057" s="35"/>
      <c r="E1057" s="35" t="s">
        <v>3071</v>
      </c>
      <c r="F1057" s="36">
        <v>0</v>
      </c>
      <c r="G1057" s="35" t="s">
        <v>3072</v>
      </c>
      <c r="H1057" s="35" t="s">
        <v>3074</v>
      </c>
    </row>
    <row r="1058" spans="1:8" ht="23.1" thickBot="1" x14ac:dyDescent="0.6">
      <c r="A1058" s="44"/>
      <c r="B1058" s="37"/>
      <c r="C1058" s="35"/>
      <c r="D1058" s="35"/>
      <c r="E1058" s="35" t="s">
        <v>3075</v>
      </c>
      <c r="F1058" s="36">
        <v>0</v>
      </c>
      <c r="G1058" s="35" t="s">
        <v>3076</v>
      </c>
      <c r="H1058" s="35" t="s">
        <v>3078</v>
      </c>
    </row>
    <row r="1059" spans="1:8" ht="23.1" thickBot="1" x14ac:dyDescent="0.6">
      <c r="A1059" s="44"/>
      <c r="B1059" s="37"/>
      <c r="C1059" s="35"/>
      <c r="D1059" s="35"/>
      <c r="E1059" s="35" t="s">
        <v>3079</v>
      </c>
      <c r="F1059" s="36">
        <v>0</v>
      </c>
      <c r="G1059" s="35" t="s">
        <v>3080</v>
      </c>
      <c r="H1059" s="35" t="s">
        <v>3082</v>
      </c>
    </row>
    <row r="1060" spans="1:8" ht="23.1" thickBot="1" x14ac:dyDescent="0.6">
      <c r="A1060" s="44"/>
      <c r="B1060" s="37"/>
      <c r="C1060" s="35"/>
      <c r="D1060" s="35"/>
      <c r="E1060" s="35" t="s">
        <v>3083</v>
      </c>
      <c r="F1060" s="36">
        <v>0</v>
      </c>
      <c r="G1060" s="35" t="s">
        <v>3084</v>
      </c>
      <c r="H1060" s="35" t="s">
        <v>3086</v>
      </c>
    </row>
    <row r="1061" spans="1:8" ht="23.1" thickBot="1" x14ac:dyDescent="0.6">
      <c r="A1061" s="44" t="s">
        <v>7787</v>
      </c>
      <c r="B1061" s="37" t="s">
        <v>6388</v>
      </c>
      <c r="C1061" s="35" t="s">
        <v>6781</v>
      </c>
      <c r="D1061" s="35" t="s">
        <v>7788</v>
      </c>
      <c r="E1061" s="35" t="s">
        <v>3087</v>
      </c>
      <c r="F1061" s="36">
        <v>0</v>
      </c>
      <c r="G1061" s="35" t="s">
        <v>3088</v>
      </c>
      <c r="H1061" s="35" t="s">
        <v>3090</v>
      </c>
    </row>
    <row r="1062" spans="1:8" ht="23.1" thickBot="1" x14ac:dyDescent="0.6">
      <c r="A1062" s="44"/>
      <c r="B1062" s="37"/>
      <c r="C1062" s="35"/>
      <c r="D1062" s="35"/>
      <c r="E1062" s="35" t="s">
        <v>3091</v>
      </c>
      <c r="F1062" s="36">
        <v>0</v>
      </c>
      <c r="G1062" s="35" t="s">
        <v>3092</v>
      </c>
      <c r="H1062" s="35" t="s">
        <v>3094</v>
      </c>
    </row>
    <row r="1063" spans="1:8" ht="23.1" thickBot="1" x14ac:dyDescent="0.6">
      <c r="A1063" s="44" t="s">
        <v>7789</v>
      </c>
      <c r="B1063" s="37" t="s">
        <v>3095</v>
      </c>
      <c r="C1063" s="35" t="s">
        <v>6837</v>
      </c>
      <c r="D1063" s="35" t="s">
        <v>7790</v>
      </c>
      <c r="E1063" s="35" t="s">
        <v>3097</v>
      </c>
      <c r="F1063" s="36">
        <v>0</v>
      </c>
      <c r="G1063" s="35" t="s">
        <v>3098</v>
      </c>
      <c r="H1063" s="35" t="s">
        <v>3096</v>
      </c>
    </row>
    <row r="1064" spans="1:8" ht="23.1" thickBot="1" x14ac:dyDescent="0.6">
      <c r="A1064" s="44"/>
      <c r="B1064" s="37"/>
      <c r="C1064" s="35"/>
      <c r="D1064" s="35"/>
      <c r="E1064" s="35" t="s">
        <v>3100</v>
      </c>
      <c r="F1064" s="36">
        <v>11</v>
      </c>
      <c r="G1064" s="35" t="s">
        <v>3101</v>
      </c>
      <c r="H1064" s="35" t="s">
        <v>3096</v>
      </c>
    </row>
    <row r="1065" spans="1:8" ht="23.1" thickBot="1" x14ac:dyDescent="0.6">
      <c r="A1065" s="44"/>
      <c r="B1065" s="37"/>
      <c r="C1065" s="35"/>
      <c r="D1065" s="35"/>
      <c r="E1065" s="35" t="s">
        <v>3103</v>
      </c>
      <c r="F1065" s="36">
        <v>12</v>
      </c>
      <c r="G1065" s="35" t="s">
        <v>3104</v>
      </c>
      <c r="H1065" s="35" t="s">
        <v>3096</v>
      </c>
    </row>
    <row r="1066" spans="1:8" ht="23.1" thickBot="1" x14ac:dyDescent="0.6">
      <c r="A1066" s="44"/>
      <c r="B1066" s="37"/>
      <c r="C1066" s="35"/>
      <c r="D1066" s="35"/>
      <c r="E1066" s="35" t="s">
        <v>3106</v>
      </c>
      <c r="F1066" s="36">
        <v>16</v>
      </c>
      <c r="G1066" s="35" t="s">
        <v>3107</v>
      </c>
      <c r="H1066" s="35" t="s">
        <v>3096</v>
      </c>
    </row>
    <row r="1067" spans="1:8" ht="23.1" thickBot="1" x14ac:dyDescent="0.6">
      <c r="A1067" s="44"/>
      <c r="B1067" s="37"/>
      <c r="C1067" s="35"/>
      <c r="D1067" s="35"/>
      <c r="E1067" s="35" t="s">
        <v>3109</v>
      </c>
      <c r="F1067" s="36">
        <v>17</v>
      </c>
      <c r="G1067" s="35" t="s">
        <v>3110</v>
      </c>
      <c r="H1067" s="35" t="s">
        <v>3096</v>
      </c>
    </row>
    <row r="1068" spans="1:8" ht="23.1" thickBot="1" x14ac:dyDescent="0.6">
      <c r="A1068" s="44"/>
      <c r="B1068" s="37"/>
      <c r="C1068" s="35"/>
      <c r="D1068" s="35"/>
      <c r="E1068" s="35" t="s">
        <v>3112</v>
      </c>
      <c r="F1068" s="36">
        <v>18</v>
      </c>
      <c r="G1068" s="35" t="s">
        <v>3113</v>
      </c>
      <c r="H1068" s="35" t="s">
        <v>3096</v>
      </c>
    </row>
    <row r="1069" spans="1:8" ht="23.1" thickBot="1" x14ac:dyDescent="0.6">
      <c r="A1069" s="44"/>
      <c r="B1069" s="37"/>
      <c r="C1069" s="35"/>
      <c r="D1069" s="35"/>
      <c r="E1069" s="35" t="s">
        <v>3115</v>
      </c>
      <c r="F1069" s="36">
        <v>19</v>
      </c>
      <c r="G1069" s="35" t="s">
        <v>3116</v>
      </c>
      <c r="H1069" s="35" t="s">
        <v>3096</v>
      </c>
    </row>
    <row r="1070" spans="1:8" ht="23.1" thickBot="1" x14ac:dyDescent="0.6">
      <c r="A1070" s="44"/>
      <c r="B1070" s="37"/>
      <c r="C1070" s="35"/>
      <c r="D1070" s="35"/>
      <c r="E1070" s="35" t="s">
        <v>3118</v>
      </c>
      <c r="F1070" s="36">
        <v>20</v>
      </c>
      <c r="G1070" s="35" t="s">
        <v>3119</v>
      </c>
      <c r="H1070" s="35" t="s">
        <v>3096</v>
      </c>
    </row>
    <row r="1071" spans="1:8" ht="23.1" thickBot="1" x14ac:dyDescent="0.6">
      <c r="A1071" s="44"/>
      <c r="B1071" s="37"/>
      <c r="C1071" s="35"/>
      <c r="D1071" s="35"/>
      <c r="E1071" s="35" t="s">
        <v>3121</v>
      </c>
      <c r="F1071" s="36">
        <v>22</v>
      </c>
      <c r="G1071" s="35" t="s">
        <v>3122</v>
      </c>
      <c r="H1071" s="35" t="s">
        <v>3096</v>
      </c>
    </row>
    <row r="1072" spans="1:8" ht="23.1" thickBot="1" x14ac:dyDescent="0.6">
      <c r="A1072" s="44"/>
      <c r="B1072" s="37"/>
      <c r="C1072" s="35"/>
      <c r="D1072" s="35"/>
      <c r="E1072" s="35" t="s">
        <v>3124</v>
      </c>
      <c r="F1072" s="36">
        <v>23</v>
      </c>
      <c r="G1072" s="35" t="s">
        <v>3125</v>
      </c>
      <c r="H1072" s="35" t="s">
        <v>3096</v>
      </c>
    </row>
    <row r="1073" spans="1:8" ht="23.1" thickBot="1" x14ac:dyDescent="0.6">
      <c r="A1073" s="44"/>
      <c r="B1073" s="37"/>
      <c r="C1073" s="35"/>
      <c r="D1073" s="35"/>
      <c r="E1073" s="35" t="s">
        <v>3127</v>
      </c>
      <c r="F1073" s="36">
        <v>24</v>
      </c>
      <c r="G1073" s="35" t="s">
        <v>3128</v>
      </c>
      <c r="H1073" s="35" t="s">
        <v>3096</v>
      </c>
    </row>
    <row r="1074" spans="1:8" ht="23.1" thickBot="1" x14ac:dyDescent="0.6">
      <c r="A1074" s="44"/>
      <c r="B1074" s="37"/>
      <c r="C1074" s="35"/>
      <c r="D1074" s="35"/>
      <c r="E1074" s="35" t="s">
        <v>3130</v>
      </c>
      <c r="F1074" s="36">
        <v>25</v>
      </c>
      <c r="G1074" s="35" t="s">
        <v>3131</v>
      </c>
      <c r="H1074" s="35" t="s">
        <v>3096</v>
      </c>
    </row>
    <row r="1075" spans="1:8" ht="23.1" thickBot="1" x14ac:dyDescent="0.6">
      <c r="A1075" s="44"/>
      <c r="B1075" s="37"/>
      <c r="C1075" s="35"/>
      <c r="D1075" s="35"/>
      <c r="E1075" s="35" t="s">
        <v>3133</v>
      </c>
      <c r="F1075" s="36">
        <v>26</v>
      </c>
      <c r="G1075" s="35" t="s">
        <v>3134</v>
      </c>
      <c r="H1075" s="35" t="s">
        <v>3096</v>
      </c>
    </row>
    <row r="1076" spans="1:8" ht="23.1" thickBot="1" x14ac:dyDescent="0.6">
      <c r="A1076" s="44"/>
      <c r="B1076" s="37"/>
      <c r="C1076" s="35"/>
      <c r="D1076" s="35"/>
      <c r="E1076" s="35" t="s">
        <v>3136</v>
      </c>
      <c r="F1076" s="36">
        <v>27</v>
      </c>
      <c r="G1076" s="35" t="s">
        <v>3137</v>
      </c>
      <c r="H1076" s="35" t="s">
        <v>3096</v>
      </c>
    </row>
    <row r="1077" spans="1:8" ht="23.1" thickBot="1" x14ac:dyDescent="0.6">
      <c r="A1077" s="44"/>
      <c r="B1077" s="37"/>
      <c r="C1077" s="35"/>
      <c r="D1077" s="35"/>
      <c r="E1077" s="35" t="s">
        <v>3139</v>
      </c>
      <c r="F1077" s="36">
        <v>28</v>
      </c>
      <c r="G1077" s="35" t="s">
        <v>3140</v>
      </c>
      <c r="H1077" s="35" t="s">
        <v>3096</v>
      </c>
    </row>
    <row r="1078" spans="1:8" ht="23.1" thickBot="1" x14ac:dyDescent="0.6">
      <c r="A1078" s="44"/>
      <c r="B1078" s="37"/>
      <c r="C1078" s="35"/>
      <c r="D1078" s="35"/>
      <c r="E1078" s="35" t="s">
        <v>3142</v>
      </c>
      <c r="F1078" s="36">
        <v>29</v>
      </c>
      <c r="G1078" s="35" t="s">
        <v>3143</v>
      </c>
      <c r="H1078" s="35" t="s">
        <v>3096</v>
      </c>
    </row>
    <row r="1079" spans="1:8" ht="23.1" thickBot="1" x14ac:dyDescent="0.6">
      <c r="A1079" s="44"/>
      <c r="B1079" s="37"/>
      <c r="C1079" s="35"/>
      <c r="D1079" s="35"/>
      <c r="E1079" s="35" t="s">
        <v>3145</v>
      </c>
      <c r="F1079" s="36">
        <v>30</v>
      </c>
      <c r="G1079" s="35" t="s">
        <v>3146</v>
      </c>
      <c r="H1079" s="35" t="s">
        <v>3096</v>
      </c>
    </row>
    <row r="1080" spans="1:8" ht="23.1" thickBot="1" x14ac:dyDescent="0.6">
      <c r="A1080" s="44"/>
      <c r="B1080" s="37"/>
      <c r="C1080" s="35"/>
      <c r="D1080" s="35"/>
      <c r="E1080" s="35" t="s">
        <v>3148</v>
      </c>
      <c r="F1080" s="36">
        <v>31</v>
      </c>
      <c r="G1080" s="35" t="s">
        <v>3149</v>
      </c>
      <c r="H1080" s="35" t="s">
        <v>3096</v>
      </c>
    </row>
    <row r="1081" spans="1:8" ht="23.1" thickBot="1" x14ac:dyDescent="0.6">
      <c r="A1081" s="44"/>
      <c r="B1081" s="37"/>
      <c r="C1081" s="35"/>
      <c r="D1081" s="35"/>
      <c r="E1081" s="35" t="s">
        <v>3151</v>
      </c>
      <c r="F1081" s="36">
        <v>32</v>
      </c>
      <c r="G1081" s="35" t="s">
        <v>3152</v>
      </c>
      <c r="H1081" s="35" t="s">
        <v>3096</v>
      </c>
    </row>
    <row r="1082" spans="1:8" ht="23.1" thickBot="1" x14ac:dyDescent="0.6">
      <c r="A1082" s="44"/>
      <c r="B1082" s="37"/>
      <c r="C1082" s="35"/>
      <c r="D1082" s="35"/>
      <c r="E1082" s="35" t="s">
        <v>3154</v>
      </c>
      <c r="F1082" s="36">
        <v>33</v>
      </c>
      <c r="G1082" s="35" t="s">
        <v>3155</v>
      </c>
      <c r="H1082" s="35" t="s">
        <v>3096</v>
      </c>
    </row>
    <row r="1083" spans="1:8" ht="23.1" thickBot="1" x14ac:dyDescent="0.6">
      <c r="A1083" s="44"/>
      <c r="B1083" s="37"/>
      <c r="C1083" s="35"/>
      <c r="D1083" s="35"/>
      <c r="E1083" s="35" t="s">
        <v>3157</v>
      </c>
      <c r="F1083" s="36">
        <v>34</v>
      </c>
      <c r="G1083" s="35" t="s">
        <v>3158</v>
      </c>
      <c r="H1083" s="35" t="s">
        <v>3096</v>
      </c>
    </row>
    <row r="1084" spans="1:8" ht="23.1" thickBot="1" x14ac:dyDescent="0.6">
      <c r="A1084" s="44"/>
      <c r="B1084" s="37"/>
      <c r="C1084" s="35"/>
      <c r="D1084" s="35"/>
      <c r="E1084" s="35" t="s">
        <v>3160</v>
      </c>
      <c r="F1084" s="36">
        <v>35</v>
      </c>
      <c r="G1084" s="35" t="s">
        <v>3161</v>
      </c>
      <c r="H1084" s="35" t="s">
        <v>3096</v>
      </c>
    </row>
    <row r="1085" spans="1:8" ht="23.1" thickBot="1" x14ac:dyDescent="0.6">
      <c r="A1085" s="44"/>
      <c r="B1085" s="37"/>
      <c r="C1085" s="35"/>
      <c r="D1085" s="35"/>
      <c r="E1085" s="35" t="s">
        <v>3163</v>
      </c>
      <c r="F1085" s="36">
        <v>36</v>
      </c>
      <c r="G1085" s="35" t="s">
        <v>3164</v>
      </c>
      <c r="H1085" s="35" t="s">
        <v>3096</v>
      </c>
    </row>
    <row r="1086" spans="1:8" ht="23.1" thickBot="1" x14ac:dyDescent="0.6">
      <c r="A1086" s="44"/>
      <c r="B1086" s="37"/>
      <c r="C1086" s="35"/>
      <c r="D1086" s="35"/>
      <c r="E1086" s="35" t="s">
        <v>3166</v>
      </c>
      <c r="F1086" s="36">
        <v>37</v>
      </c>
      <c r="G1086" s="35" t="s">
        <v>3167</v>
      </c>
      <c r="H1086" s="35" t="s">
        <v>3096</v>
      </c>
    </row>
    <row r="1087" spans="1:8" ht="23.1" thickBot="1" x14ac:dyDescent="0.6">
      <c r="A1087" s="44"/>
      <c r="B1087" s="37"/>
      <c r="C1087" s="35"/>
      <c r="D1087" s="35"/>
      <c r="E1087" s="35" t="s">
        <v>3169</v>
      </c>
      <c r="F1087" s="36">
        <v>38</v>
      </c>
      <c r="G1087" s="35" t="s">
        <v>3170</v>
      </c>
      <c r="H1087" s="35" t="s">
        <v>3096</v>
      </c>
    </row>
    <row r="1088" spans="1:8" ht="23.1" thickBot="1" x14ac:dyDescent="0.6">
      <c r="A1088" s="44"/>
      <c r="B1088" s="37"/>
      <c r="C1088" s="35"/>
      <c r="D1088" s="35"/>
      <c r="E1088" s="35" t="s">
        <v>3172</v>
      </c>
      <c r="F1088" s="36">
        <v>39</v>
      </c>
      <c r="G1088" s="35" t="s">
        <v>3173</v>
      </c>
      <c r="H1088" s="35" t="s">
        <v>3096</v>
      </c>
    </row>
    <row r="1089" spans="1:8" ht="23.1" thickBot="1" x14ac:dyDescent="0.6">
      <c r="A1089" s="44"/>
      <c r="B1089" s="37"/>
      <c r="C1089" s="35"/>
      <c r="D1089" s="35"/>
      <c r="E1089" s="35" t="s">
        <v>3175</v>
      </c>
      <c r="F1089" s="36">
        <v>40</v>
      </c>
      <c r="G1089" s="35" t="s">
        <v>3176</v>
      </c>
      <c r="H1089" s="35" t="s">
        <v>3096</v>
      </c>
    </row>
    <row r="1090" spans="1:8" ht="23.1" thickBot="1" x14ac:dyDescent="0.6">
      <c r="A1090" s="44"/>
      <c r="B1090" s="37"/>
      <c r="C1090" s="35"/>
      <c r="D1090" s="35"/>
      <c r="E1090" s="35" t="s">
        <v>3178</v>
      </c>
      <c r="F1090" s="36">
        <v>41</v>
      </c>
      <c r="G1090" s="35" t="s">
        <v>3179</v>
      </c>
      <c r="H1090" s="35" t="s">
        <v>3096</v>
      </c>
    </row>
    <row r="1091" spans="1:8" ht="23.1" thickBot="1" x14ac:dyDescent="0.6">
      <c r="A1091" s="44"/>
      <c r="B1091" s="37"/>
      <c r="C1091" s="35"/>
      <c r="D1091" s="35"/>
      <c r="E1091" s="35" t="s">
        <v>3181</v>
      </c>
      <c r="F1091" s="36">
        <v>42</v>
      </c>
      <c r="G1091" s="35" t="s">
        <v>3182</v>
      </c>
      <c r="H1091" s="35" t="s">
        <v>3096</v>
      </c>
    </row>
    <row r="1092" spans="1:8" ht="23.1" thickBot="1" x14ac:dyDescent="0.6">
      <c r="A1092" s="44"/>
      <c r="B1092" s="37"/>
      <c r="C1092" s="35"/>
      <c r="D1092" s="35"/>
      <c r="E1092" s="35" t="s">
        <v>3184</v>
      </c>
      <c r="F1092" s="36">
        <v>43</v>
      </c>
      <c r="G1092" s="35" t="s">
        <v>3185</v>
      </c>
      <c r="H1092" s="35" t="s">
        <v>3096</v>
      </c>
    </row>
    <row r="1093" spans="1:8" ht="23.1" thickBot="1" x14ac:dyDescent="0.6">
      <c r="A1093" s="44"/>
      <c r="B1093" s="37"/>
      <c r="C1093" s="35"/>
      <c r="D1093" s="35"/>
      <c r="E1093" s="35" t="s">
        <v>3187</v>
      </c>
      <c r="F1093" s="36">
        <v>44</v>
      </c>
      <c r="G1093" s="35" t="s">
        <v>3188</v>
      </c>
      <c r="H1093" s="35" t="s">
        <v>3096</v>
      </c>
    </row>
    <row r="1094" spans="1:8" ht="23.1" thickBot="1" x14ac:dyDescent="0.6">
      <c r="A1094" s="44"/>
      <c r="B1094" s="37"/>
      <c r="C1094" s="35"/>
      <c r="D1094" s="35"/>
      <c r="E1094" s="35" t="s">
        <v>3190</v>
      </c>
      <c r="F1094" s="36">
        <v>45</v>
      </c>
      <c r="G1094" s="35" t="s">
        <v>3191</v>
      </c>
      <c r="H1094" s="35" t="s">
        <v>3096</v>
      </c>
    </row>
    <row r="1095" spans="1:8" ht="23.1" thickBot="1" x14ac:dyDescent="0.6">
      <c r="A1095" s="44"/>
      <c r="B1095" s="37"/>
      <c r="C1095" s="35"/>
      <c r="D1095" s="35"/>
      <c r="E1095" s="35" t="s">
        <v>3193</v>
      </c>
      <c r="F1095" s="36">
        <v>46</v>
      </c>
      <c r="G1095" s="35" t="s">
        <v>3194</v>
      </c>
      <c r="H1095" s="35" t="s">
        <v>3096</v>
      </c>
    </row>
    <row r="1096" spans="1:8" ht="23.1" thickBot="1" x14ac:dyDescent="0.6">
      <c r="A1096" s="44"/>
      <c r="B1096" s="37"/>
      <c r="C1096" s="35"/>
      <c r="D1096" s="35"/>
      <c r="E1096" s="35" t="s">
        <v>3196</v>
      </c>
      <c r="F1096" s="36">
        <v>47</v>
      </c>
      <c r="G1096" s="35" t="s">
        <v>3197</v>
      </c>
      <c r="H1096" s="35" t="s">
        <v>3096</v>
      </c>
    </row>
    <row r="1097" spans="1:8" ht="23.1" thickBot="1" x14ac:dyDescent="0.6">
      <c r="A1097" s="44"/>
      <c r="B1097" s="37"/>
      <c r="C1097" s="35"/>
      <c r="D1097" s="35"/>
      <c r="E1097" s="35" t="s">
        <v>3199</v>
      </c>
      <c r="F1097" s="36">
        <v>48</v>
      </c>
      <c r="G1097" s="35" t="s">
        <v>3200</v>
      </c>
      <c r="H1097" s="35" t="s">
        <v>3096</v>
      </c>
    </row>
    <row r="1098" spans="1:8" ht="23.1" thickBot="1" x14ac:dyDescent="0.6">
      <c r="A1098" s="44"/>
      <c r="B1098" s="37"/>
      <c r="C1098" s="35"/>
      <c r="D1098" s="35"/>
      <c r="E1098" s="35" t="s">
        <v>3202</v>
      </c>
      <c r="F1098" s="36">
        <v>900</v>
      </c>
      <c r="G1098" s="35" t="s">
        <v>3203</v>
      </c>
      <c r="H1098" s="35" t="s">
        <v>3096</v>
      </c>
    </row>
    <row r="1099" spans="1:8" ht="23.1" thickBot="1" x14ac:dyDescent="0.6">
      <c r="A1099" s="44"/>
      <c r="B1099" s="37"/>
      <c r="C1099" s="35"/>
      <c r="D1099" s="35"/>
      <c r="E1099" s="35" t="s">
        <v>3205</v>
      </c>
      <c r="F1099" s="36">
        <v>901</v>
      </c>
      <c r="G1099" s="35" t="s">
        <v>3206</v>
      </c>
      <c r="H1099" s="35" t="s">
        <v>3096</v>
      </c>
    </row>
    <row r="1100" spans="1:8" ht="23.1" thickBot="1" x14ac:dyDescent="0.6">
      <c r="A1100" s="44"/>
      <c r="B1100" s="37"/>
      <c r="C1100" s="35"/>
      <c r="D1100" s="35"/>
      <c r="E1100" s="35" t="s">
        <v>3208</v>
      </c>
      <c r="F1100" s="36">
        <v>902</v>
      </c>
      <c r="G1100" s="35" t="s">
        <v>3209</v>
      </c>
      <c r="H1100" s="35" t="s">
        <v>3096</v>
      </c>
    </row>
    <row r="1101" spans="1:8" ht="23.1" thickBot="1" x14ac:dyDescent="0.6">
      <c r="A1101" s="44"/>
      <c r="B1101" s="37"/>
      <c r="C1101" s="35"/>
      <c r="D1101" s="35"/>
      <c r="E1101" s="35" t="s">
        <v>3211</v>
      </c>
      <c r="F1101" s="36">
        <v>903</v>
      </c>
      <c r="G1101" s="35" t="s">
        <v>3212</v>
      </c>
      <c r="H1101" s="35" t="s">
        <v>3096</v>
      </c>
    </row>
    <row r="1102" spans="1:8" ht="23.1" thickBot="1" x14ac:dyDescent="0.6">
      <c r="A1102" s="44"/>
      <c r="B1102" s="37"/>
      <c r="C1102" s="35"/>
      <c r="D1102" s="35"/>
      <c r="E1102" s="35" t="s">
        <v>3214</v>
      </c>
      <c r="F1102" s="36">
        <v>904</v>
      </c>
      <c r="G1102" s="35" t="s">
        <v>3215</v>
      </c>
      <c r="H1102" s="35" t="s">
        <v>3096</v>
      </c>
    </row>
    <row r="1103" spans="1:8" ht="23.1" thickBot="1" x14ac:dyDescent="0.6">
      <c r="A1103" s="44"/>
      <c r="B1103" s="37"/>
      <c r="C1103" s="35"/>
      <c r="D1103" s="35"/>
      <c r="E1103" s="35" t="s">
        <v>3217</v>
      </c>
      <c r="F1103" s="36">
        <v>999</v>
      </c>
      <c r="G1103" s="35" t="s">
        <v>135</v>
      </c>
      <c r="H1103" s="35" t="s">
        <v>3096</v>
      </c>
    </row>
    <row r="1104" spans="1:8" ht="23.1" thickBot="1" x14ac:dyDescent="0.6">
      <c r="A1104" s="44"/>
      <c r="B1104" s="37"/>
      <c r="C1104" s="35"/>
      <c r="D1104" s="35"/>
      <c r="E1104" s="35" t="s">
        <v>3219</v>
      </c>
      <c r="F1104" s="36">
        <v>0</v>
      </c>
      <c r="G1104" s="35" t="s">
        <v>3220</v>
      </c>
      <c r="H1104" s="35" t="s">
        <v>3222</v>
      </c>
    </row>
    <row r="1105" spans="1:8" ht="23.1" thickBot="1" x14ac:dyDescent="0.6">
      <c r="A1105" s="44" t="s">
        <v>7791</v>
      </c>
      <c r="B1105" s="37" t="s">
        <v>6399</v>
      </c>
      <c r="C1105" s="35" t="s">
        <v>6774</v>
      </c>
      <c r="D1105" s="35" t="s">
        <v>7792</v>
      </c>
      <c r="E1105" s="35" t="s">
        <v>3223</v>
      </c>
      <c r="F1105" s="36">
        <v>0</v>
      </c>
      <c r="G1105" s="35" t="s">
        <v>3224</v>
      </c>
      <c r="H1105" s="35" t="s">
        <v>3226</v>
      </c>
    </row>
    <row r="1106" spans="1:8" ht="23.1" thickBot="1" x14ac:dyDescent="0.6">
      <c r="A1106" s="44" t="s">
        <v>7793</v>
      </c>
      <c r="B1106" s="37" t="s">
        <v>6479</v>
      </c>
      <c r="C1106" s="35" t="s">
        <v>6793</v>
      </c>
      <c r="D1106" s="35" t="s">
        <v>7794</v>
      </c>
      <c r="E1106" s="35" t="s">
        <v>3227</v>
      </c>
      <c r="F1106" s="36">
        <v>0</v>
      </c>
      <c r="G1106" s="35" t="s">
        <v>3228</v>
      </c>
      <c r="H1106" s="35" t="s">
        <v>3230</v>
      </c>
    </row>
    <row r="1107" spans="1:8" ht="23.1" thickBot="1" x14ac:dyDescent="0.6">
      <c r="A1107" s="44" t="s">
        <v>7795</v>
      </c>
      <c r="B1107" s="37" t="s">
        <v>6585</v>
      </c>
      <c r="C1107" s="35" t="s">
        <v>6781</v>
      </c>
      <c r="D1107" s="35" t="s">
        <v>7796</v>
      </c>
      <c r="E1107" s="35" t="s">
        <v>3227</v>
      </c>
      <c r="F1107" s="36">
        <v>0</v>
      </c>
      <c r="G1107" s="35" t="s">
        <v>3228</v>
      </c>
      <c r="H1107" s="35" t="s">
        <v>3230</v>
      </c>
    </row>
    <row r="1108" spans="1:8" ht="23.1" thickBot="1" x14ac:dyDescent="0.6">
      <c r="A1108" s="44"/>
      <c r="B1108" s="37"/>
      <c r="C1108" s="35" t="s">
        <v>6791</v>
      </c>
      <c r="D1108" s="35" t="s">
        <v>7797</v>
      </c>
      <c r="E1108" s="35" t="s">
        <v>3231</v>
      </c>
      <c r="F1108" s="36">
        <v>0</v>
      </c>
      <c r="G1108" s="35" t="s">
        <v>3232</v>
      </c>
      <c r="H1108" s="35" t="s">
        <v>3234</v>
      </c>
    </row>
    <row r="1109" spans="1:8" ht="23.1" thickBot="1" x14ac:dyDescent="0.6">
      <c r="A1109" s="44"/>
      <c r="B1109" s="37"/>
      <c r="C1109" s="35" t="s">
        <v>6770</v>
      </c>
      <c r="D1109" s="35" t="s">
        <v>7798</v>
      </c>
      <c r="E1109" s="35" t="s">
        <v>3231</v>
      </c>
      <c r="F1109" s="36">
        <v>0</v>
      </c>
      <c r="G1109" s="35" t="s">
        <v>3232</v>
      </c>
      <c r="H1109" s="35" t="s">
        <v>3234</v>
      </c>
    </row>
    <row r="1110" spans="1:8" ht="23.1" thickBot="1" x14ac:dyDescent="0.6">
      <c r="A1110" s="44"/>
      <c r="B1110" s="37"/>
      <c r="C1110" s="35"/>
      <c r="D1110" s="35"/>
      <c r="E1110" s="35" t="s">
        <v>3236</v>
      </c>
      <c r="F1110" s="36">
        <v>0</v>
      </c>
      <c r="G1110" s="35" t="s">
        <v>3237</v>
      </c>
      <c r="H1110" s="35" t="s">
        <v>3235</v>
      </c>
    </row>
    <row r="1111" spans="1:8" ht="23.1" thickBot="1" x14ac:dyDescent="0.6">
      <c r="A1111" s="44"/>
      <c r="B1111" s="37"/>
      <c r="C1111" s="35"/>
      <c r="D1111" s="35"/>
      <c r="E1111" s="35" t="s">
        <v>3239</v>
      </c>
      <c r="F1111" s="36">
        <v>9</v>
      </c>
      <c r="G1111" s="35" t="s">
        <v>3240</v>
      </c>
      <c r="H1111" s="35" t="s">
        <v>3235</v>
      </c>
    </row>
    <row r="1112" spans="1:8" ht="23.1" thickBot="1" x14ac:dyDescent="0.6">
      <c r="A1112" s="44"/>
      <c r="B1112" s="37"/>
      <c r="C1112" s="35"/>
      <c r="D1112" s="35"/>
      <c r="E1112" s="35" t="s">
        <v>3242</v>
      </c>
      <c r="F1112" s="36">
        <v>11</v>
      </c>
      <c r="G1112" s="35" t="s">
        <v>3101</v>
      </c>
      <c r="H1112" s="35" t="s">
        <v>3235</v>
      </c>
    </row>
    <row r="1113" spans="1:8" ht="23.1" thickBot="1" x14ac:dyDescent="0.6">
      <c r="A1113" s="44"/>
      <c r="B1113" s="37"/>
      <c r="C1113" s="35"/>
      <c r="D1113" s="35"/>
      <c r="E1113" s="35" t="s">
        <v>3244</v>
      </c>
      <c r="F1113" s="36">
        <v>12</v>
      </c>
      <c r="G1113" s="35" t="s">
        <v>3104</v>
      </c>
      <c r="H1113" s="35" t="s">
        <v>3235</v>
      </c>
    </row>
    <row r="1114" spans="1:8" ht="23.1" thickBot="1" x14ac:dyDescent="0.6">
      <c r="A1114" s="44"/>
      <c r="B1114" s="37"/>
      <c r="C1114" s="35"/>
      <c r="D1114" s="35"/>
      <c r="E1114" s="35" t="s">
        <v>3246</v>
      </c>
      <c r="F1114" s="36">
        <v>16</v>
      </c>
      <c r="G1114" s="35" t="s">
        <v>3107</v>
      </c>
      <c r="H1114" s="35" t="s">
        <v>3235</v>
      </c>
    </row>
    <row r="1115" spans="1:8" ht="23.1" thickBot="1" x14ac:dyDescent="0.6">
      <c r="A1115" s="44"/>
      <c r="B1115" s="37"/>
      <c r="C1115" s="35"/>
      <c r="D1115" s="35"/>
      <c r="E1115" s="35" t="s">
        <v>3248</v>
      </c>
      <c r="F1115" s="36">
        <v>17</v>
      </c>
      <c r="G1115" s="35" t="s">
        <v>3110</v>
      </c>
      <c r="H1115" s="35" t="s">
        <v>3235</v>
      </c>
    </row>
    <row r="1116" spans="1:8" ht="23.1" thickBot="1" x14ac:dyDescent="0.6">
      <c r="A1116" s="44"/>
      <c r="B1116" s="37"/>
      <c r="C1116" s="35"/>
      <c r="D1116" s="35"/>
      <c r="E1116" s="35" t="s">
        <v>3250</v>
      </c>
      <c r="F1116" s="36">
        <v>18</v>
      </c>
      <c r="G1116" s="35" t="s">
        <v>3113</v>
      </c>
      <c r="H1116" s="35" t="s">
        <v>3235</v>
      </c>
    </row>
    <row r="1117" spans="1:8" ht="23.1" thickBot="1" x14ac:dyDescent="0.6">
      <c r="A1117" s="44"/>
      <c r="B1117" s="37"/>
      <c r="C1117" s="35"/>
      <c r="D1117" s="35"/>
      <c r="E1117" s="35" t="s">
        <v>3252</v>
      </c>
      <c r="F1117" s="36">
        <v>19</v>
      </c>
      <c r="G1117" s="35" t="s">
        <v>3116</v>
      </c>
      <c r="H1117" s="35" t="s">
        <v>3235</v>
      </c>
    </row>
    <row r="1118" spans="1:8" ht="23.1" thickBot="1" x14ac:dyDescent="0.6">
      <c r="A1118" s="44"/>
      <c r="B1118" s="37"/>
      <c r="C1118" s="35"/>
      <c r="D1118" s="35"/>
      <c r="E1118" s="35" t="s">
        <v>3254</v>
      </c>
      <c r="F1118" s="36">
        <v>20</v>
      </c>
      <c r="G1118" s="35" t="s">
        <v>3119</v>
      </c>
      <c r="H1118" s="35" t="s">
        <v>3235</v>
      </c>
    </row>
    <row r="1119" spans="1:8" ht="23.1" thickBot="1" x14ac:dyDescent="0.6">
      <c r="A1119" s="44"/>
      <c r="B1119" s="37"/>
      <c r="C1119" s="35"/>
      <c r="D1119" s="35"/>
      <c r="E1119" s="35" t="s">
        <v>3256</v>
      </c>
      <c r="F1119" s="36">
        <v>22</v>
      </c>
      <c r="G1119" s="35" t="s">
        <v>3122</v>
      </c>
      <c r="H1119" s="35" t="s">
        <v>3235</v>
      </c>
    </row>
    <row r="1120" spans="1:8" ht="23.1" thickBot="1" x14ac:dyDescent="0.6">
      <c r="A1120" s="44"/>
      <c r="B1120" s="37"/>
      <c r="C1120" s="35"/>
      <c r="D1120" s="35"/>
      <c r="E1120" s="35" t="s">
        <v>3258</v>
      </c>
      <c r="F1120" s="36">
        <v>23</v>
      </c>
      <c r="G1120" s="35" t="s">
        <v>3125</v>
      </c>
      <c r="H1120" s="35" t="s">
        <v>3235</v>
      </c>
    </row>
    <row r="1121" spans="1:8" ht="23.1" thickBot="1" x14ac:dyDescent="0.6">
      <c r="A1121" s="44"/>
      <c r="B1121" s="37"/>
      <c r="C1121" s="35"/>
      <c r="D1121" s="35"/>
      <c r="E1121" s="35" t="s">
        <v>3260</v>
      </c>
      <c r="F1121" s="36">
        <v>24</v>
      </c>
      <c r="G1121" s="35" t="s">
        <v>3128</v>
      </c>
      <c r="H1121" s="35" t="s">
        <v>3235</v>
      </c>
    </row>
    <row r="1122" spans="1:8" ht="23.1" thickBot="1" x14ac:dyDescent="0.6">
      <c r="A1122" s="44"/>
      <c r="B1122" s="37"/>
      <c r="C1122" s="35"/>
      <c r="D1122" s="35"/>
      <c r="E1122" s="35" t="s">
        <v>3262</v>
      </c>
      <c r="F1122" s="36">
        <v>25</v>
      </c>
      <c r="G1122" s="35" t="s">
        <v>3131</v>
      </c>
      <c r="H1122" s="35" t="s">
        <v>3235</v>
      </c>
    </row>
    <row r="1123" spans="1:8" ht="23.1" thickBot="1" x14ac:dyDescent="0.6">
      <c r="A1123" s="44"/>
      <c r="B1123" s="37"/>
      <c r="C1123" s="35"/>
      <c r="D1123" s="35"/>
      <c r="E1123" s="35" t="s">
        <v>3264</v>
      </c>
      <c r="F1123" s="36">
        <v>26</v>
      </c>
      <c r="G1123" s="35" t="s">
        <v>3134</v>
      </c>
      <c r="H1123" s="35" t="s">
        <v>3235</v>
      </c>
    </row>
    <row r="1124" spans="1:8" ht="23.1" thickBot="1" x14ac:dyDescent="0.6">
      <c r="A1124" s="44"/>
      <c r="B1124" s="37"/>
      <c r="C1124" s="35"/>
      <c r="D1124" s="35"/>
      <c r="E1124" s="35" t="s">
        <v>3266</v>
      </c>
      <c r="F1124" s="36">
        <v>27</v>
      </c>
      <c r="G1124" s="35" t="s">
        <v>3137</v>
      </c>
      <c r="H1124" s="35" t="s">
        <v>3235</v>
      </c>
    </row>
    <row r="1125" spans="1:8" ht="23.1" thickBot="1" x14ac:dyDescent="0.6">
      <c r="A1125" s="44"/>
      <c r="B1125" s="37"/>
      <c r="C1125" s="35"/>
      <c r="D1125" s="35"/>
      <c r="E1125" s="35" t="s">
        <v>3268</v>
      </c>
      <c r="F1125" s="36">
        <v>28</v>
      </c>
      <c r="G1125" s="35" t="s">
        <v>3140</v>
      </c>
      <c r="H1125" s="35" t="s">
        <v>3235</v>
      </c>
    </row>
    <row r="1126" spans="1:8" ht="23.1" thickBot="1" x14ac:dyDescent="0.6">
      <c r="A1126" s="44"/>
      <c r="B1126" s="37"/>
      <c r="C1126" s="35"/>
      <c r="D1126" s="35"/>
      <c r="E1126" s="35" t="s">
        <v>3270</v>
      </c>
      <c r="F1126" s="36">
        <v>29</v>
      </c>
      <c r="G1126" s="35" t="s">
        <v>3143</v>
      </c>
      <c r="H1126" s="35" t="s">
        <v>3235</v>
      </c>
    </row>
    <row r="1127" spans="1:8" ht="23.1" thickBot="1" x14ac:dyDescent="0.6">
      <c r="A1127" s="44"/>
      <c r="B1127" s="37"/>
      <c r="C1127" s="35"/>
      <c r="D1127" s="35"/>
      <c r="E1127" s="35" t="s">
        <v>3272</v>
      </c>
      <c r="F1127" s="36">
        <v>30</v>
      </c>
      <c r="G1127" s="35" t="s">
        <v>3146</v>
      </c>
      <c r="H1127" s="35" t="s">
        <v>3235</v>
      </c>
    </row>
    <row r="1128" spans="1:8" ht="23.1" thickBot="1" x14ac:dyDescent="0.6">
      <c r="A1128" s="44"/>
      <c r="B1128" s="37"/>
      <c r="C1128" s="35"/>
      <c r="D1128" s="35"/>
      <c r="E1128" s="35" t="s">
        <v>3274</v>
      </c>
      <c r="F1128" s="36">
        <v>31</v>
      </c>
      <c r="G1128" s="35" t="s">
        <v>3149</v>
      </c>
      <c r="H1128" s="35" t="s">
        <v>3235</v>
      </c>
    </row>
    <row r="1129" spans="1:8" ht="23.1" thickBot="1" x14ac:dyDescent="0.6">
      <c r="A1129" s="44"/>
      <c r="B1129" s="37"/>
      <c r="C1129" s="35"/>
      <c r="D1129" s="35"/>
      <c r="E1129" s="35" t="s">
        <v>3276</v>
      </c>
      <c r="F1129" s="36">
        <v>32</v>
      </c>
      <c r="G1129" s="35" t="s">
        <v>3152</v>
      </c>
      <c r="H1129" s="35" t="s">
        <v>3235</v>
      </c>
    </row>
    <row r="1130" spans="1:8" ht="23.1" thickBot="1" x14ac:dyDescent="0.6">
      <c r="A1130" s="44"/>
      <c r="B1130" s="37"/>
      <c r="C1130" s="35"/>
      <c r="D1130" s="35"/>
      <c r="E1130" s="35" t="s">
        <v>3278</v>
      </c>
      <c r="F1130" s="36">
        <v>33</v>
      </c>
      <c r="G1130" s="35" t="s">
        <v>3155</v>
      </c>
      <c r="H1130" s="35" t="s">
        <v>3235</v>
      </c>
    </row>
    <row r="1131" spans="1:8" ht="23.1" thickBot="1" x14ac:dyDescent="0.6">
      <c r="A1131" s="44"/>
      <c r="B1131" s="37"/>
      <c r="C1131" s="35"/>
      <c r="D1131" s="35"/>
      <c r="E1131" s="35" t="s">
        <v>3280</v>
      </c>
      <c r="F1131" s="36">
        <v>34</v>
      </c>
      <c r="G1131" s="35" t="s">
        <v>3158</v>
      </c>
      <c r="H1131" s="35" t="s">
        <v>3235</v>
      </c>
    </row>
    <row r="1132" spans="1:8" ht="23.1" thickBot="1" x14ac:dyDescent="0.6">
      <c r="A1132" s="44"/>
      <c r="B1132" s="37"/>
      <c r="C1132" s="35"/>
      <c r="D1132" s="35"/>
      <c r="E1132" s="35" t="s">
        <v>3282</v>
      </c>
      <c r="F1132" s="36">
        <v>35</v>
      </c>
      <c r="G1132" s="35" t="s">
        <v>3161</v>
      </c>
      <c r="H1132" s="35" t="s">
        <v>3235</v>
      </c>
    </row>
    <row r="1133" spans="1:8" ht="23.1" thickBot="1" x14ac:dyDescent="0.6">
      <c r="A1133" s="44"/>
      <c r="B1133" s="37"/>
      <c r="C1133" s="35"/>
      <c r="D1133" s="35"/>
      <c r="E1133" s="35" t="s">
        <v>3284</v>
      </c>
      <c r="F1133" s="36">
        <v>36</v>
      </c>
      <c r="G1133" s="35" t="s">
        <v>3164</v>
      </c>
      <c r="H1133" s="35" t="s">
        <v>3235</v>
      </c>
    </row>
    <row r="1134" spans="1:8" ht="23.1" thickBot="1" x14ac:dyDescent="0.6">
      <c r="A1134" s="44"/>
      <c r="B1134" s="37"/>
      <c r="C1134" s="35"/>
      <c r="D1134" s="35"/>
      <c r="E1134" s="35" t="s">
        <v>3286</v>
      </c>
      <c r="F1134" s="36">
        <v>37</v>
      </c>
      <c r="G1134" s="35" t="s">
        <v>3167</v>
      </c>
      <c r="H1134" s="35" t="s">
        <v>3235</v>
      </c>
    </row>
    <row r="1135" spans="1:8" ht="23.1" thickBot="1" x14ac:dyDescent="0.6">
      <c r="A1135" s="44"/>
      <c r="B1135" s="37"/>
      <c r="C1135" s="35"/>
      <c r="D1135" s="35"/>
      <c r="E1135" s="35" t="s">
        <v>3288</v>
      </c>
      <c r="F1135" s="36">
        <v>38</v>
      </c>
      <c r="G1135" s="35" t="s">
        <v>3170</v>
      </c>
      <c r="H1135" s="35" t="s">
        <v>3235</v>
      </c>
    </row>
    <row r="1136" spans="1:8" ht="23.1" thickBot="1" x14ac:dyDescent="0.6">
      <c r="A1136" s="44"/>
      <c r="B1136" s="37"/>
      <c r="C1136" s="35"/>
      <c r="D1136" s="35"/>
      <c r="E1136" s="35" t="s">
        <v>3290</v>
      </c>
      <c r="F1136" s="36">
        <v>39</v>
      </c>
      <c r="G1136" s="35" t="s">
        <v>3173</v>
      </c>
      <c r="H1136" s="35" t="s">
        <v>3235</v>
      </c>
    </row>
    <row r="1137" spans="1:8" ht="23.1" thickBot="1" x14ac:dyDescent="0.6">
      <c r="A1137" s="44"/>
      <c r="B1137" s="37"/>
      <c r="C1137" s="35"/>
      <c r="D1137" s="35"/>
      <c r="E1137" s="35" t="s">
        <v>3292</v>
      </c>
      <c r="F1137" s="36">
        <v>40</v>
      </c>
      <c r="G1137" s="35" t="s">
        <v>3176</v>
      </c>
      <c r="H1137" s="35" t="s">
        <v>3235</v>
      </c>
    </row>
    <row r="1138" spans="1:8" ht="23.1" thickBot="1" x14ac:dyDescent="0.6">
      <c r="A1138" s="44"/>
      <c r="B1138" s="37"/>
      <c r="C1138" s="35"/>
      <c r="D1138" s="35"/>
      <c r="E1138" s="35" t="s">
        <v>3294</v>
      </c>
      <c r="F1138" s="36">
        <v>41</v>
      </c>
      <c r="G1138" s="35" t="s">
        <v>3179</v>
      </c>
      <c r="H1138" s="35" t="s">
        <v>3235</v>
      </c>
    </row>
    <row r="1139" spans="1:8" ht="23.1" thickBot="1" x14ac:dyDescent="0.6">
      <c r="A1139" s="44"/>
      <c r="B1139" s="37"/>
      <c r="C1139" s="35"/>
      <c r="D1139" s="35"/>
      <c r="E1139" s="35" t="s">
        <v>3296</v>
      </c>
      <c r="F1139" s="36">
        <v>42</v>
      </c>
      <c r="G1139" s="35" t="s">
        <v>3182</v>
      </c>
      <c r="H1139" s="35" t="s">
        <v>3235</v>
      </c>
    </row>
    <row r="1140" spans="1:8" ht="23.1" thickBot="1" x14ac:dyDescent="0.6">
      <c r="A1140" s="44"/>
      <c r="B1140" s="37"/>
      <c r="C1140" s="35"/>
      <c r="D1140" s="35"/>
      <c r="E1140" s="35" t="s">
        <v>3298</v>
      </c>
      <c r="F1140" s="36">
        <v>43</v>
      </c>
      <c r="G1140" s="35" t="s">
        <v>3185</v>
      </c>
      <c r="H1140" s="35" t="s">
        <v>3235</v>
      </c>
    </row>
    <row r="1141" spans="1:8" ht="23.1" thickBot="1" x14ac:dyDescent="0.6">
      <c r="A1141" s="44"/>
      <c r="B1141" s="37"/>
      <c r="C1141" s="35"/>
      <c r="D1141" s="35"/>
      <c r="E1141" s="35" t="s">
        <v>3300</v>
      </c>
      <c r="F1141" s="36">
        <v>44</v>
      </c>
      <c r="G1141" s="35" t="s">
        <v>3188</v>
      </c>
      <c r="H1141" s="35" t="s">
        <v>3235</v>
      </c>
    </row>
    <row r="1142" spans="1:8" ht="23.1" thickBot="1" x14ac:dyDescent="0.6">
      <c r="A1142" s="44"/>
      <c r="B1142" s="37"/>
      <c r="C1142" s="35"/>
      <c r="D1142" s="35"/>
      <c r="E1142" s="35" t="s">
        <v>3302</v>
      </c>
      <c r="F1142" s="36">
        <v>45</v>
      </c>
      <c r="G1142" s="35" t="s">
        <v>3191</v>
      </c>
      <c r="H1142" s="35" t="s">
        <v>3235</v>
      </c>
    </row>
    <row r="1143" spans="1:8" ht="23.1" thickBot="1" x14ac:dyDescent="0.6">
      <c r="A1143" s="44"/>
      <c r="B1143" s="37"/>
      <c r="C1143" s="35"/>
      <c r="D1143" s="35"/>
      <c r="E1143" s="35" t="s">
        <v>3304</v>
      </c>
      <c r="F1143" s="36">
        <v>46</v>
      </c>
      <c r="G1143" s="35" t="s">
        <v>3194</v>
      </c>
      <c r="H1143" s="35" t="s">
        <v>3235</v>
      </c>
    </row>
    <row r="1144" spans="1:8" ht="23.1" thickBot="1" x14ac:dyDescent="0.6">
      <c r="A1144" s="44"/>
      <c r="B1144" s="37"/>
      <c r="C1144" s="35"/>
      <c r="D1144" s="35"/>
      <c r="E1144" s="35" t="s">
        <v>3306</v>
      </c>
      <c r="F1144" s="36">
        <v>47</v>
      </c>
      <c r="G1144" s="35" t="s">
        <v>3197</v>
      </c>
      <c r="H1144" s="35" t="s">
        <v>3235</v>
      </c>
    </row>
    <row r="1145" spans="1:8" ht="23.1" thickBot="1" x14ac:dyDescent="0.6">
      <c r="A1145" s="44"/>
      <c r="B1145" s="37"/>
      <c r="C1145" s="35"/>
      <c r="D1145" s="35"/>
      <c r="E1145" s="35" t="s">
        <v>3308</v>
      </c>
      <c r="F1145" s="36">
        <v>48</v>
      </c>
      <c r="G1145" s="35" t="s">
        <v>3200</v>
      </c>
      <c r="H1145" s="35" t="s">
        <v>3235</v>
      </c>
    </row>
    <row r="1146" spans="1:8" ht="23.1" thickBot="1" x14ac:dyDescent="0.6">
      <c r="A1146" s="44"/>
      <c r="B1146" s="37"/>
      <c r="C1146" s="35"/>
      <c r="D1146" s="35"/>
      <c r="E1146" s="35" t="s">
        <v>3310</v>
      </c>
      <c r="F1146" s="36">
        <v>49</v>
      </c>
      <c r="G1146" s="35" t="s">
        <v>3311</v>
      </c>
      <c r="H1146" s="35" t="s">
        <v>3235</v>
      </c>
    </row>
    <row r="1147" spans="1:8" ht="23.1" thickBot="1" x14ac:dyDescent="0.6">
      <c r="A1147" s="44"/>
      <c r="B1147" s="37"/>
      <c r="C1147" s="35"/>
      <c r="D1147" s="35"/>
      <c r="E1147" s="35" t="s">
        <v>3313</v>
      </c>
      <c r="F1147" s="36">
        <v>50</v>
      </c>
      <c r="G1147" s="35" t="s">
        <v>3314</v>
      </c>
      <c r="H1147" s="35" t="s">
        <v>3235</v>
      </c>
    </row>
    <row r="1148" spans="1:8" ht="23.1" thickBot="1" x14ac:dyDescent="0.6">
      <c r="A1148" s="44"/>
      <c r="B1148" s="37"/>
      <c r="C1148" s="35"/>
      <c r="D1148" s="35"/>
      <c r="E1148" s="35" t="s">
        <v>3316</v>
      </c>
      <c r="F1148" s="36">
        <v>900</v>
      </c>
      <c r="G1148" s="35" t="s">
        <v>3203</v>
      </c>
      <c r="H1148" s="35" t="s">
        <v>3235</v>
      </c>
    </row>
    <row r="1149" spans="1:8" ht="23.1" thickBot="1" x14ac:dyDescent="0.6">
      <c r="A1149" s="44"/>
      <c r="B1149" s="37"/>
      <c r="C1149" s="35"/>
      <c r="D1149" s="35"/>
      <c r="E1149" s="35" t="s">
        <v>3318</v>
      </c>
      <c r="F1149" s="36">
        <v>901</v>
      </c>
      <c r="G1149" s="35" t="s">
        <v>3206</v>
      </c>
      <c r="H1149" s="35" t="s">
        <v>3235</v>
      </c>
    </row>
    <row r="1150" spans="1:8" ht="23.1" thickBot="1" x14ac:dyDescent="0.6">
      <c r="A1150" s="44"/>
      <c r="B1150" s="37"/>
      <c r="C1150" s="35"/>
      <c r="D1150" s="35"/>
      <c r="E1150" s="35" t="s">
        <v>3320</v>
      </c>
      <c r="F1150" s="36">
        <v>902</v>
      </c>
      <c r="G1150" s="35" t="s">
        <v>3209</v>
      </c>
      <c r="H1150" s="35" t="s">
        <v>3235</v>
      </c>
    </row>
    <row r="1151" spans="1:8" ht="23.1" thickBot="1" x14ac:dyDescent="0.6">
      <c r="A1151" s="44"/>
      <c r="B1151" s="37"/>
      <c r="C1151" s="35"/>
      <c r="D1151" s="35"/>
      <c r="E1151" s="35" t="s">
        <v>3322</v>
      </c>
      <c r="F1151" s="36">
        <v>903</v>
      </c>
      <c r="G1151" s="35" t="s">
        <v>3212</v>
      </c>
      <c r="H1151" s="35" t="s">
        <v>3235</v>
      </c>
    </row>
    <row r="1152" spans="1:8" ht="23.1" thickBot="1" x14ac:dyDescent="0.6">
      <c r="A1152" s="44"/>
      <c r="B1152" s="37"/>
      <c r="C1152" s="35"/>
      <c r="D1152" s="35"/>
      <c r="E1152" s="35" t="s">
        <v>3324</v>
      </c>
      <c r="F1152" s="36">
        <v>904</v>
      </c>
      <c r="G1152" s="35" t="s">
        <v>3215</v>
      </c>
      <c r="H1152" s="35" t="s">
        <v>3235</v>
      </c>
    </row>
    <row r="1153" spans="1:8" ht="23.1" thickBot="1" x14ac:dyDescent="0.6">
      <c r="A1153" s="44"/>
      <c r="B1153" s="37"/>
      <c r="C1153" s="35"/>
      <c r="D1153" s="35"/>
      <c r="E1153" s="35" t="s">
        <v>3326</v>
      </c>
      <c r="F1153" s="36">
        <v>999</v>
      </c>
      <c r="G1153" s="35" t="s">
        <v>135</v>
      </c>
      <c r="H1153" s="35" t="s">
        <v>3235</v>
      </c>
    </row>
    <row r="1154" spans="1:8" ht="23.1" thickBot="1" x14ac:dyDescent="0.6">
      <c r="A1154" s="44" t="s">
        <v>7799</v>
      </c>
      <c r="B1154" s="37" t="s">
        <v>6413</v>
      </c>
      <c r="C1154" s="35" t="s">
        <v>6793</v>
      </c>
      <c r="D1154" s="35" t="s">
        <v>7800</v>
      </c>
      <c r="E1154" s="35" t="s">
        <v>3328</v>
      </c>
      <c r="F1154" s="36">
        <v>0</v>
      </c>
      <c r="G1154" s="35" t="s">
        <v>3329</v>
      </c>
      <c r="H1154" s="35" t="s">
        <v>3331</v>
      </c>
    </row>
    <row r="1155" spans="1:8" ht="23.1" thickBot="1" x14ac:dyDescent="0.6">
      <c r="A1155" s="44"/>
      <c r="B1155" s="37"/>
      <c r="C1155" s="35" t="s">
        <v>6781</v>
      </c>
      <c r="D1155" s="35" t="s">
        <v>7801</v>
      </c>
      <c r="E1155" s="35" t="s">
        <v>3328</v>
      </c>
      <c r="F1155" s="36">
        <v>0</v>
      </c>
      <c r="G1155" s="35" t="s">
        <v>3329</v>
      </c>
      <c r="H1155" s="35" t="s">
        <v>3331</v>
      </c>
    </row>
    <row r="1156" spans="1:8" ht="23.1" thickBot="1" x14ac:dyDescent="0.6">
      <c r="A1156" s="44"/>
      <c r="B1156" s="37"/>
      <c r="C1156" s="35" t="s">
        <v>6812</v>
      </c>
      <c r="D1156" s="35" t="s">
        <v>7802</v>
      </c>
      <c r="E1156" s="35" t="s">
        <v>3332</v>
      </c>
      <c r="F1156" s="36">
        <v>0</v>
      </c>
      <c r="G1156" s="35" t="s">
        <v>3119</v>
      </c>
      <c r="H1156" s="35" t="s">
        <v>3334</v>
      </c>
    </row>
    <row r="1157" spans="1:8" ht="23.1" thickBot="1" x14ac:dyDescent="0.6">
      <c r="A1157" s="44"/>
      <c r="B1157" s="37"/>
      <c r="C1157" s="35" t="s">
        <v>6813</v>
      </c>
      <c r="D1157" s="35" t="s">
        <v>7803</v>
      </c>
      <c r="E1157" s="35" t="s">
        <v>3332</v>
      </c>
      <c r="F1157" s="36">
        <v>0</v>
      </c>
      <c r="G1157" s="35" t="s">
        <v>3119</v>
      </c>
      <c r="H1157" s="35" t="s">
        <v>3334</v>
      </c>
    </row>
    <row r="1158" spans="1:8" ht="23.1" thickBot="1" x14ac:dyDescent="0.6">
      <c r="A1158" s="44" t="s">
        <v>7804</v>
      </c>
      <c r="B1158" s="37" t="s">
        <v>6480</v>
      </c>
      <c r="C1158" s="35" t="s">
        <v>6781</v>
      </c>
      <c r="D1158" s="35" t="s">
        <v>7805</v>
      </c>
      <c r="E1158" s="35" t="s">
        <v>3335</v>
      </c>
      <c r="F1158" s="36">
        <v>0</v>
      </c>
      <c r="G1158" s="35" t="s">
        <v>3336</v>
      </c>
      <c r="H1158" s="35" t="s">
        <v>3338</v>
      </c>
    </row>
    <row r="1159" spans="1:8" ht="23.1" thickBot="1" x14ac:dyDescent="0.6">
      <c r="A1159" s="44"/>
      <c r="B1159" s="37"/>
      <c r="C1159" s="35"/>
      <c r="D1159" s="35"/>
      <c r="E1159" s="35" t="s">
        <v>3339</v>
      </c>
      <c r="F1159" s="36">
        <v>0</v>
      </c>
      <c r="G1159" s="35" t="s">
        <v>3340</v>
      </c>
      <c r="H1159" s="35" t="s">
        <v>3342</v>
      </c>
    </row>
    <row r="1160" spans="1:8" ht="23.1" thickBot="1" x14ac:dyDescent="0.6">
      <c r="A1160" s="44" t="s">
        <v>7806</v>
      </c>
      <c r="B1160" s="37" t="s">
        <v>6562</v>
      </c>
      <c r="C1160" s="35" t="s">
        <v>6781</v>
      </c>
      <c r="D1160" s="35" t="s">
        <v>7807</v>
      </c>
      <c r="E1160" s="35" t="s">
        <v>3344</v>
      </c>
      <c r="F1160" s="36">
        <v>0</v>
      </c>
      <c r="G1160" s="35" t="s">
        <v>3345</v>
      </c>
      <c r="H1160" s="35" t="s">
        <v>3347</v>
      </c>
    </row>
    <row r="1161" spans="1:8" ht="23.1" thickBot="1" x14ac:dyDescent="0.6">
      <c r="A1161" s="44" t="s">
        <v>7808</v>
      </c>
      <c r="B1161" s="37" t="s">
        <v>6685</v>
      </c>
      <c r="C1161" s="35" t="s">
        <v>6781</v>
      </c>
      <c r="D1161" s="35" t="s">
        <v>7809</v>
      </c>
      <c r="E1161" s="35" t="s">
        <v>3348</v>
      </c>
      <c r="F1161" s="36">
        <v>0</v>
      </c>
      <c r="G1161" s="35" t="s">
        <v>3349</v>
      </c>
      <c r="H1161" s="35" t="s">
        <v>3351</v>
      </c>
    </row>
    <row r="1162" spans="1:8" ht="23.1" thickBot="1" x14ac:dyDescent="0.6">
      <c r="A1162" s="44"/>
      <c r="B1162" s="37"/>
      <c r="C1162" s="35"/>
      <c r="D1162" s="35"/>
      <c r="E1162" s="35" t="s">
        <v>3352</v>
      </c>
      <c r="F1162" s="36">
        <v>0</v>
      </c>
      <c r="G1162" s="35" t="s">
        <v>3353</v>
      </c>
      <c r="H1162" s="35" t="s">
        <v>3355</v>
      </c>
    </row>
    <row r="1163" spans="1:8" ht="23.1" thickBot="1" x14ac:dyDescent="0.6">
      <c r="A1163" s="44"/>
      <c r="B1163" s="37"/>
      <c r="C1163" s="35"/>
      <c r="D1163" s="35"/>
      <c r="E1163" s="35" t="s">
        <v>3356</v>
      </c>
      <c r="F1163" s="36">
        <v>0</v>
      </c>
      <c r="G1163" s="35" t="s">
        <v>3357</v>
      </c>
      <c r="H1163" s="35" t="s">
        <v>3359</v>
      </c>
    </row>
    <row r="1164" spans="1:8" ht="23.1" thickBot="1" x14ac:dyDescent="0.6">
      <c r="A1164" s="44"/>
      <c r="B1164" s="37"/>
      <c r="C1164" s="35"/>
      <c r="D1164" s="35"/>
      <c r="E1164" s="35" t="s">
        <v>3361</v>
      </c>
      <c r="F1164" s="36">
        <v>0</v>
      </c>
      <c r="G1164" s="35" t="s">
        <v>3362</v>
      </c>
      <c r="H1164" s="35" t="s">
        <v>3360</v>
      </c>
    </row>
    <row r="1165" spans="1:8" ht="23.1" thickBot="1" x14ac:dyDescent="0.6">
      <c r="A1165" s="44"/>
      <c r="B1165" s="37"/>
      <c r="C1165" s="35"/>
      <c r="D1165" s="35"/>
      <c r="E1165" s="35" t="s">
        <v>3364</v>
      </c>
      <c r="F1165" s="36">
        <v>6</v>
      </c>
      <c r="G1165" s="35" t="s">
        <v>3365</v>
      </c>
      <c r="H1165" s="35" t="s">
        <v>3360</v>
      </c>
    </row>
    <row r="1166" spans="1:8" ht="23.1" thickBot="1" x14ac:dyDescent="0.6">
      <c r="A1166" s="44"/>
      <c r="B1166" s="37"/>
      <c r="C1166" s="35"/>
      <c r="D1166" s="35"/>
      <c r="E1166" s="35" t="s">
        <v>3367</v>
      </c>
      <c r="F1166" s="36">
        <v>7</v>
      </c>
      <c r="G1166" s="35" t="s">
        <v>3368</v>
      </c>
      <c r="H1166" s="35" t="s">
        <v>3360</v>
      </c>
    </row>
    <row r="1167" spans="1:8" ht="23.1" thickBot="1" x14ac:dyDescent="0.6">
      <c r="A1167" s="44"/>
      <c r="B1167" s="37"/>
      <c r="C1167" s="35"/>
      <c r="D1167" s="35"/>
      <c r="E1167" s="35" t="s">
        <v>3370</v>
      </c>
      <c r="F1167" s="36">
        <v>51</v>
      </c>
      <c r="G1167" s="35" t="s">
        <v>3371</v>
      </c>
      <c r="H1167" s="35" t="s">
        <v>3360</v>
      </c>
    </row>
    <row r="1168" spans="1:8" ht="23.1" thickBot="1" x14ac:dyDescent="0.6">
      <c r="A1168" s="44"/>
      <c r="B1168" s="37"/>
      <c r="C1168" s="35"/>
      <c r="D1168" s="35"/>
      <c r="E1168" s="35" t="s">
        <v>3373</v>
      </c>
      <c r="F1168" s="36">
        <v>58</v>
      </c>
      <c r="G1168" s="35" t="s">
        <v>3374</v>
      </c>
      <c r="H1168" s="35" t="s">
        <v>3360</v>
      </c>
    </row>
    <row r="1169" spans="1:8" ht="23.1" thickBot="1" x14ac:dyDescent="0.6">
      <c r="A1169" s="44"/>
      <c r="B1169" s="37"/>
      <c r="C1169" s="35"/>
      <c r="D1169" s="35"/>
      <c r="E1169" s="35" t="s">
        <v>3376</v>
      </c>
      <c r="F1169" s="36">
        <v>59</v>
      </c>
      <c r="G1169" s="35" t="s">
        <v>3377</v>
      </c>
      <c r="H1169" s="35" t="s">
        <v>3360</v>
      </c>
    </row>
    <row r="1170" spans="1:8" ht="23.1" thickBot="1" x14ac:dyDescent="0.6">
      <c r="A1170" s="44"/>
      <c r="B1170" s="37"/>
      <c r="C1170" s="35"/>
      <c r="D1170" s="35"/>
      <c r="E1170" s="35" t="s">
        <v>3379</v>
      </c>
      <c r="F1170" s="36">
        <v>60</v>
      </c>
      <c r="G1170" s="35" t="s">
        <v>3380</v>
      </c>
      <c r="H1170" s="35" t="s">
        <v>3360</v>
      </c>
    </row>
    <row r="1171" spans="1:8" ht="23.1" thickBot="1" x14ac:dyDescent="0.6">
      <c r="A1171" s="44"/>
      <c r="B1171" s="37"/>
      <c r="C1171" s="35"/>
      <c r="D1171" s="35"/>
      <c r="E1171" s="35" t="s">
        <v>3382</v>
      </c>
      <c r="F1171" s="36">
        <v>61</v>
      </c>
      <c r="G1171" s="35" t="s">
        <v>3383</v>
      </c>
      <c r="H1171" s="35" t="s">
        <v>3360</v>
      </c>
    </row>
    <row r="1172" spans="1:8" ht="23.1" thickBot="1" x14ac:dyDescent="0.6">
      <c r="A1172" s="44"/>
      <c r="B1172" s="37"/>
      <c r="C1172" s="35"/>
      <c r="D1172" s="35"/>
      <c r="E1172" s="35" t="s">
        <v>3385</v>
      </c>
      <c r="F1172" s="36">
        <v>62</v>
      </c>
      <c r="G1172" s="35" t="s">
        <v>3386</v>
      </c>
      <c r="H1172" s="35" t="s">
        <v>3360</v>
      </c>
    </row>
    <row r="1173" spans="1:8" ht="23.1" thickBot="1" x14ac:dyDescent="0.6">
      <c r="A1173" s="44"/>
      <c r="B1173" s="37"/>
      <c r="C1173" s="35"/>
      <c r="D1173" s="35"/>
      <c r="E1173" s="35" t="s">
        <v>3388</v>
      </c>
      <c r="F1173" s="36">
        <v>63</v>
      </c>
      <c r="G1173" s="35" t="s">
        <v>3389</v>
      </c>
      <c r="H1173" s="35" t="s">
        <v>3360</v>
      </c>
    </row>
    <row r="1174" spans="1:8" ht="23.1" thickBot="1" x14ac:dyDescent="0.6">
      <c r="A1174" s="44"/>
      <c r="B1174" s="37"/>
      <c r="C1174" s="35"/>
      <c r="D1174" s="35"/>
      <c r="E1174" s="35" t="s">
        <v>3391</v>
      </c>
      <c r="F1174" s="36">
        <v>999</v>
      </c>
      <c r="G1174" s="35" t="s">
        <v>135</v>
      </c>
      <c r="H1174" s="35" t="s">
        <v>3360</v>
      </c>
    </row>
    <row r="1175" spans="1:8" ht="23.1" thickBot="1" x14ac:dyDescent="0.6">
      <c r="A1175" s="44" t="s">
        <v>7810</v>
      </c>
      <c r="B1175" s="37" t="s">
        <v>6547</v>
      </c>
      <c r="C1175" s="35" t="s">
        <v>6781</v>
      </c>
      <c r="D1175" s="35" t="s">
        <v>7811</v>
      </c>
      <c r="E1175" s="35" t="s">
        <v>3393</v>
      </c>
      <c r="F1175" s="36">
        <v>0</v>
      </c>
      <c r="G1175" s="35" t="s">
        <v>3394</v>
      </c>
      <c r="H1175" s="35" t="s">
        <v>3396</v>
      </c>
    </row>
    <row r="1176" spans="1:8" ht="23.1" thickBot="1" x14ac:dyDescent="0.6">
      <c r="A1176" s="44"/>
      <c r="B1176" s="37"/>
      <c r="C1176" s="35"/>
      <c r="D1176" s="35"/>
      <c r="E1176" s="35" t="s">
        <v>3397</v>
      </c>
      <c r="F1176" s="36">
        <v>0</v>
      </c>
      <c r="G1176" s="35" t="s">
        <v>3398</v>
      </c>
      <c r="H1176" s="35" t="s">
        <v>3400</v>
      </c>
    </row>
    <row r="1177" spans="1:8" ht="23.1" thickBot="1" x14ac:dyDescent="0.6">
      <c r="A1177" s="44" t="s">
        <v>7812</v>
      </c>
      <c r="B1177" s="37" t="s">
        <v>6440</v>
      </c>
      <c r="C1177" s="35" t="s">
        <v>6770</v>
      </c>
      <c r="D1177" s="35" t="s">
        <v>7813</v>
      </c>
      <c r="E1177" s="35" t="s">
        <v>3401</v>
      </c>
      <c r="F1177" s="36">
        <v>0</v>
      </c>
      <c r="G1177" s="35" t="s">
        <v>3402</v>
      </c>
      <c r="H1177" s="35" t="s">
        <v>3404</v>
      </c>
    </row>
    <row r="1178" spans="1:8" ht="23.1" thickBot="1" x14ac:dyDescent="0.6">
      <c r="A1178" s="44"/>
      <c r="B1178" s="37"/>
      <c r="C1178" s="35"/>
      <c r="D1178" s="35"/>
      <c r="E1178" s="35" t="s">
        <v>3405</v>
      </c>
      <c r="F1178" s="36">
        <v>0</v>
      </c>
      <c r="G1178" s="35" t="s">
        <v>3406</v>
      </c>
      <c r="H1178" s="35" t="s">
        <v>3408</v>
      </c>
    </row>
    <row r="1179" spans="1:8" ht="23.1" thickBot="1" x14ac:dyDescent="0.6">
      <c r="A1179" s="44"/>
      <c r="B1179" s="37"/>
      <c r="C1179" s="35"/>
      <c r="D1179" s="35"/>
      <c r="E1179" s="35" t="s">
        <v>3409</v>
      </c>
      <c r="F1179" s="36">
        <v>0</v>
      </c>
      <c r="G1179" s="35" t="s">
        <v>3410</v>
      </c>
      <c r="H1179" s="35" t="s">
        <v>3412</v>
      </c>
    </row>
    <row r="1180" spans="1:8" ht="23.1" thickBot="1" x14ac:dyDescent="0.6">
      <c r="A1180" s="44"/>
      <c r="B1180" s="37"/>
      <c r="C1180" s="35"/>
      <c r="D1180" s="35"/>
      <c r="E1180" s="35" t="s">
        <v>3413</v>
      </c>
      <c r="F1180" s="36">
        <v>0</v>
      </c>
      <c r="G1180" s="35" t="s">
        <v>3414</v>
      </c>
      <c r="H1180" s="35" t="s">
        <v>3416</v>
      </c>
    </row>
    <row r="1181" spans="1:8" ht="23.1" thickBot="1" x14ac:dyDescent="0.6">
      <c r="A1181" s="44"/>
      <c r="B1181" s="37"/>
      <c r="C1181" s="35" t="s">
        <v>6742</v>
      </c>
      <c r="D1181" s="35" t="s">
        <v>7814</v>
      </c>
      <c r="E1181" s="35" t="s">
        <v>3417</v>
      </c>
      <c r="F1181" s="36">
        <v>0</v>
      </c>
      <c r="G1181" s="35" t="s">
        <v>3418</v>
      </c>
      <c r="H1181" s="35" t="s">
        <v>3420</v>
      </c>
    </row>
    <row r="1182" spans="1:8" ht="23.1" thickBot="1" x14ac:dyDescent="0.6">
      <c r="A1182" s="44"/>
      <c r="B1182" s="37"/>
      <c r="C1182" s="35"/>
      <c r="D1182" s="35"/>
      <c r="E1182" s="35" t="s">
        <v>3421</v>
      </c>
      <c r="F1182" s="36">
        <v>0</v>
      </c>
      <c r="G1182" s="35" t="s">
        <v>3422</v>
      </c>
      <c r="H1182" s="35" t="s">
        <v>3424</v>
      </c>
    </row>
    <row r="1183" spans="1:8" ht="23.1" thickBot="1" x14ac:dyDescent="0.6">
      <c r="A1183" s="44"/>
      <c r="B1183" s="37"/>
      <c r="C1183" s="35" t="s">
        <v>6743</v>
      </c>
      <c r="D1183" s="35" t="s">
        <v>7815</v>
      </c>
      <c r="E1183" s="35" t="s">
        <v>3425</v>
      </c>
      <c r="F1183" s="36">
        <v>0</v>
      </c>
      <c r="G1183" s="35" t="s">
        <v>3426</v>
      </c>
      <c r="H1183" s="35" t="s">
        <v>3428</v>
      </c>
    </row>
    <row r="1184" spans="1:8" ht="23.1" thickBot="1" x14ac:dyDescent="0.6">
      <c r="A1184" s="44"/>
      <c r="B1184" s="37"/>
      <c r="C1184" s="35" t="s">
        <v>6743</v>
      </c>
      <c r="D1184" s="35" t="s">
        <v>7816</v>
      </c>
      <c r="E1184" s="35" t="s">
        <v>3429</v>
      </c>
      <c r="F1184" s="36">
        <v>0</v>
      </c>
      <c r="G1184" s="35" t="s">
        <v>3430</v>
      </c>
      <c r="H1184" s="35" t="s">
        <v>3432</v>
      </c>
    </row>
    <row r="1185" spans="1:8" ht="23.1" thickBot="1" x14ac:dyDescent="0.6">
      <c r="A1185" s="44"/>
      <c r="B1185" s="37"/>
      <c r="C1185" s="35"/>
      <c r="D1185" s="35"/>
      <c r="E1185" s="35" t="s">
        <v>3433</v>
      </c>
      <c r="F1185" s="36">
        <v>0</v>
      </c>
      <c r="G1185" s="35" t="s">
        <v>3434</v>
      </c>
      <c r="H1185" s="35" t="s">
        <v>3436</v>
      </c>
    </row>
    <row r="1186" spans="1:8" ht="23.1" thickBot="1" x14ac:dyDescent="0.6">
      <c r="A1186" s="44"/>
      <c r="B1186" s="37"/>
      <c r="C1186" s="35"/>
      <c r="D1186" s="35"/>
      <c r="E1186" s="35" t="s">
        <v>3437</v>
      </c>
      <c r="F1186" s="36">
        <v>0</v>
      </c>
      <c r="G1186" s="35" t="s">
        <v>3438</v>
      </c>
      <c r="H1186" s="35" t="s">
        <v>3440</v>
      </c>
    </row>
    <row r="1187" spans="1:8" ht="23.1" thickBot="1" x14ac:dyDescent="0.6">
      <c r="A1187" s="44"/>
      <c r="B1187" s="37"/>
      <c r="C1187" s="35"/>
      <c r="D1187" s="35"/>
      <c r="E1187" s="35" t="s">
        <v>3441</v>
      </c>
      <c r="F1187" s="36">
        <v>0</v>
      </c>
      <c r="G1187" s="35" t="s">
        <v>3442</v>
      </c>
      <c r="H1187" s="35" t="s">
        <v>3444</v>
      </c>
    </row>
    <row r="1188" spans="1:8" ht="23.1" thickBot="1" x14ac:dyDescent="0.6">
      <c r="A1188" s="44" t="s">
        <v>7817</v>
      </c>
      <c r="B1188" s="37" t="s">
        <v>6416</v>
      </c>
      <c r="C1188" s="35" t="s">
        <v>6768</v>
      </c>
      <c r="D1188" s="35" t="s">
        <v>7818</v>
      </c>
      <c r="E1188" s="35" t="s">
        <v>3445</v>
      </c>
      <c r="F1188" s="36">
        <v>0</v>
      </c>
      <c r="G1188" s="35" t="s">
        <v>3446</v>
      </c>
      <c r="H1188" s="35" t="s">
        <v>3448</v>
      </c>
    </row>
    <row r="1189" spans="1:8" ht="23.1" thickBot="1" x14ac:dyDescent="0.6">
      <c r="A1189" s="44"/>
      <c r="B1189" s="37"/>
      <c r="C1189" s="35" t="s">
        <v>6769</v>
      </c>
      <c r="D1189" s="35" t="s">
        <v>7819</v>
      </c>
      <c r="E1189" s="35" t="s">
        <v>3445</v>
      </c>
      <c r="F1189" s="36">
        <v>0</v>
      </c>
      <c r="G1189" s="35" t="s">
        <v>3446</v>
      </c>
      <c r="H1189" s="35" t="s">
        <v>3448</v>
      </c>
    </row>
    <row r="1190" spans="1:8" ht="23.1" thickBot="1" x14ac:dyDescent="0.6">
      <c r="A1190" s="44" t="s">
        <v>7820</v>
      </c>
      <c r="B1190" s="37" t="s">
        <v>6468</v>
      </c>
      <c r="C1190" s="35" t="s">
        <v>6790</v>
      </c>
      <c r="D1190" s="35" t="s">
        <v>7821</v>
      </c>
      <c r="E1190" s="35" t="s">
        <v>3449</v>
      </c>
      <c r="F1190" s="36">
        <v>0</v>
      </c>
      <c r="G1190" s="35" t="s">
        <v>582</v>
      </c>
      <c r="H1190" s="35" t="s">
        <v>3451</v>
      </c>
    </row>
    <row r="1191" spans="1:8" ht="23.1" thickBot="1" x14ac:dyDescent="0.6">
      <c r="A1191" s="44"/>
      <c r="B1191" s="37"/>
      <c r="C1191" s="35" t="s">
        <v>6789</v>
      </c>
      <c r="D1191" s="35" t="s">
        <v>7822</v>
      </c>
      <c r="E1191" s="35" t="s">
        <v>3449</v>
      </c>
      <c r="F1191" s="36">
        <v>0</v>
      </c>
      <c r="G1191" s="35" t="s">
        <v>582</v>
      </c>
      <c r="H1191" s="35" t="s">
        <v>3451</v>
      </c>
    </row>
    <row r="1192" spans="1:8" ht="23.1" thickBot="1" x14ac:dyDescent="0.6">
      <c r="A1192" s="44"/>
      <c r="B1192" s="37"/>
      <c r="C1192" s="35"/>
      <c r="D1192" s="35"/>
      <c r="E1192" s="35" t="s">
        <v>3452</v>
      </c>
      <c r="F1192" s="36">
        <v>0</v>
      </c>
      <c r="G1192" s="35" t="s">
        <v>3453</v>
      </c>
      <c r="H1192" s="35" t="s">
        <v>3455</v>
      </c>
    </row>
    <row r="1193" spans="1:8" ht="23.1" thickBot="1" x14ac:dyDescent="0.6">
      <c r="A1193" s="44"/>
      <c r="B1193" s="37"/>
      <c r="C1193" s="35"/>
      <c r="D1193" s="35"/>
      <c r="E1193" s="35" t="s">
        <v>3456</v>
      </c>
      <c r="F1193" s="36">
        <v>0</v>
      </c>
      <c r="G1193" s="35" t="s">
        <v>3457</v>
      </c>
      <c r="H1193" s="35" t="s">
        <v>3459</v>
      </c>
    </row>
    <row r="1194" spans="1:8" ht="23.1" thickBot="1" x14ac:dyDescent="0.6">
      <c r="A1194" s="44"/>
      <c r="B1194" s="37"/>
      <c r="C1194" s="35"/>
      <c r="D1194" s="35"/>
      <c r="E1194" s="35" t="s">
        <v>3460</v>
      </c>
      <c r="F1194" s="36">
        <v>0</v>
      </c>
      <c r="G1194" s="35" t="s">
        <v>3461</v>
      </c>
      <c r="H1194" s="35" t="s">
        <v>3463</v>
      </c>
    </row>
    <row r="1195" spans="1:8" ht="23.1" thickBot="1" x14ac:dyDescent="0.6">
      <c r="A1195" s="44"/>
      <c r="B1195" s="37"/>
      <c r="C1195" s="35"/>
      <c r="D1195" s="35"/>
      <c r="E1195" s="35" t="s">
        <v>3464</v>
      </c>
      <c r="F1195" s="36">
        <v>0</v>
      </c>
      <c r="G1195" s="35" t="s">
        <v>3465</v>
      </c>
      <c r="H1195" s="35" t="s">
        <v>3467</v>
      </c>
    </row>
    <row r="1196" spans="1:8" ht="23.1" thickBot="1" x14ac:dyDescent="0.6">
      <c r="A1196" s="44"/>
      <c r="B1196" s="37"/>
      <c r="C1196" s="35"/>
      <c r="D1196" s="35"/>
      <c r="E1196" s="35" t="s">
        <v>3468</v>
      </c>
      <c r="F1196" s="36">
        <v>0</v>
      </c>
      <c r="G1196" s="35" t="s">
        <v>3469</v>
      </c>
      <c r="H1196" s="35" t="s">
        <v>3471</v>
      </c>
    </row>
    <row r="1197" spans="1:8" ht="23.1" thickBot="1" x14ac:dyDescent="0.6">
      <c r="A1197" s="44"/>
      <c r="B1197" s="37"/>
      <c r="C1197" s="35"/>
      <c r="D1197" s="35"/>
      <c r="E1197" s="35" t="s">
        <v>3472</v>
      </c>
      <c r="F1197" s="36">
        <v>0</v>
      </c>
      <c r="G1197" s="35" t="s">
        <v>3473</v>
      </c>
      <c r="H1197" s="35" t="s">
        <v>3475</v>
      </c>
    </row>
    <row r="1198" spans="1:8" ht="23.1" thickBot="1" x14ac:dyDescent="0.6">
      <c r="A1198" s="44"/>
      <c r="B1198" s="37"/>
      <c r="C1198" s="35"/>
      <c r="D1198" s="35"/>
      <c r="E1198" s="35" t="s">
        <v>3476</v>
      </c>
      <c r="F1198" s="36">
        <v>0</v>
      </c>
      <c r="G1198" s="35" t="s">
        <v>3477</v>
      </c>
      <c r="H1198" s="35" t="s">
        <v>3479</v>
      </c>
    </row>
    <row r="1199" spans="1:8" ht="23.1" thickBot="1" x14ac:dyDescent="0.6">
      <c r="A1199" s="44"/>
      <c r="B1199" s="37"/>
      <c r="C1199" s="35"/>
      <c r="D1199" s="35"/>
      <c r="E1199" s="35" t="s">
        <v>3480</v>
      </c>
      <c r="F1199" s="36">
        <v>0</v>
      </c>
      <c r="G1199" s="35" t="s">
        <v>3481</v>
      </c>
      <c r="H1199" s="35" t="s">
        <v>3483</v>
      </c>
    </row>
    <row r="1200" spans="1:8" ht="23.1" thickBot="1" x14ac:dyDescent="0.6">
      <c r="A1200" s="44"/>
      <c r="B1200" s="37"/>
      <c r="C1200" s="35"/>
      <c r="D1200" s="35"/>
      <c r="E1200" s="35" t="s">
        <v>3484</v>
      </c>
      <c r="F1200" s="36">
        <v>0</v>
      </c>
      <c r="G1200" s="35" t="s">
        <v>3485</v>
      </c>
      <c r="H1200" s="35" t="s">
        <v>3487</v>
      </c>
    </row>
    <row r="1201" spans="1:8" ht="23.1" thickBot="1" x14ac:dyDescent="0.6">
      <c r="A1201" s="44"/>
      <c r="B1201" s="37"/>
      <c r="C1201" s="35"/>
      <c r="D1201" s="35"/>
      <c r="E1201" s="35" t="s">
        <v>3488</v>
      </c>
      <c r="F1201" s="36">
        <v>0</v>
      </c>
      <c r="G1201" s="35" t="s">
        <v>3489</v>
      </c>
      <c r="H1201" s="35" t="s">
        <v>3491</v>
      </c>
    </row>
    <row r="1202" spans="1:8" ht="23.1" thickBot="1" x14ac:dyDescent="0.6">
      <c r="A1202" s="44"/>
      <c r="B1202" s="37"/>
      <c r="C1202" s="35"/>
      <c r="D1202" s="35"/>
      <c r="E1202" s="35" t="s">
        <v>3492</v>
      </c>
      <c r="F1202" s="36">
        <v>0</v>
      </c>
      <c r="G1202" s="35" t="s">
        <v>3493</v>
      </c>
      <c r="H1202" s="35" t="s">
        <v>3495</v>
      </c>
    </row>
    <row r="1203" spans="1:8" ht="23.1" thickBot="1" x14ac:dyDescent="0.6">
      <c r="A1203" s="44"/>
      <c r="B1203" s="37"/>
      <c r="C1203" s="35"/>
      <c r="D1203" s="35"/>
      <c r="E1203" s="35" t="s">
        <v>3496</v>
      </c>
      <c r="F1203" s="36">
        <v>0</v>
      </c>
      <c r="G1203" s="35" t="s">
        <v>3497</v>
      </c>
      <c r="H1203" s="35" t="s">
        <v>3499</v>
      </c>
    </row>
    <row r="1204" spans="1:8" ht="23.1" thickBot="1" x14ac:dyDescent="0.6">
      <c r="A1204" s="44"/>
      <c r="B1204" s="37"/>
      <c r="C1204" s="35"/>
      <c r="D1204" s="35"/>
      <c r="E1204" s="35" t="s">
        <v>3500</v>
      </c>
      <c r="F1204" s="36">
        <v>0</v>
      </c>
      <c r="G1204" s="35" t="s">
        <v>3501</v>
      </c>
      <c r="H1204" s="35" t="s">
        <v>3503</v>
      </c>
    </row>
    <row r="1205" spans="1:8" ht="23.1" thickBot="1" x14ac:dyDescent="0.6">
      <c r="A1205" s="44" t="s">
        <v>7823</v>
      </c>
      <c r="B1205" s="37" t="s">
        <v>6693</v>
      </c>
      <c r="C1205" s="35" t="s">
        <v>6789</v>
      </c>
      <c r="D1205" s="35" t="s">
        <v>7824</v>
      </c>
      <c r="E1205" s="35" t="s">
        <v>3504</v>
      </c>
      <c r="F1205" s="36">
        <v>0</v>
      </c>
      <c r="G1205" s="35" t="s">
        <v>3505</v>
      </c>
      <c r="H1205" s="35" t="s">
        <v>3507</v>
      </c>
    </row>
    <row r="1206" spans="1:8" ht="23.1" thickBot="1" x14ac:dyDescent="0.6">
      <c r="A1206" s="44"/>
      <c r="B1206" s="37"/>
      <c r="C1206" s="35" t="s">
        <v>6742</v>
      </c>
      <c r="D1206" s="35" t="s">
        <v>7825</v>
      </c>
      <c r="E1206" s="35" t="s">
        <v>3508</v>
      </c>
      <c r="F1206" s="36">
        <v>0</v>
      </c>
      <c r="G1206" s="35" t="s">
        <v>3509</v>
      </c>
      <c r="H1206" s="35" t="s">
        <v>3511</v>
      </c>
    </row>
    <row r="1207" spans="1:8" ht="23.1" thickBot="1" x14ac:dyDescent="0.6">
      <c r="A1207" s="44"/>
      <c r="B1207" s="37"/>
      <c r="C1207" s="35"/>
      <c r="D1207" s="35"/>
      <c r="E1207" s="35" t="s">
        <v>3512</v>
      </c>
      <c r="F1207" s="36">
        <v>0</v>
      </c>
      <c r="G1207" s="35" t="s">
        <v>3513</v>
      </c>
      <c r="H1207" s="35" t="s">
        <v>3515</v>
      </c>
    </row>
    <row r="1208" spans="1:8" ht="23.1" thickBot="1" x14ac:dyDescent="0.6">
      <c r="A1208" s="44" t="s">
        <v>7826</v>
      </c>
      <c r="B1208" s="37" t="s">
        <v>6702</v>
      </c>
      <c r="C1208" s="35" t="s">
        <v>6790</v>
      </c>
      <c r="D1208" s="35" t="s">
        <v>7827</v>
      </c>
      <c r="E1208" s="35" t="s">
        <v>3516</v>
      </c>
      <c r="F1208" s="36">
        <v>0</v>
      </c>
      <c r="G1208" s="35" t="s">
        <v>3517</v>
      </c>
      <c r="H1208" s="35" t="s">
        <v>3519</v>
      </c>
    </row>
    <row r="1209" spans="1:8" ht="14.7" thickBot="1" x14ac:dyDescent="0.6">
      <c r="A1209" s="44"/>
      <c r="B1209" s="37"/>
      <c r="C1209" s="35" t="s">
        <v>6789</v>
      </c>
      <c r="D1209" s="35" t="s">
        <v>7828</v>
      </c>
      <c r="E1209" s="35"/>
      <c r="F1209" s="36"/>
      <c r="G1209" s="35"/>
      <c r="H1209" s="35"/>
    </row>
    <row r="1210" spans="1:8" ht="23.1" thickBot="1" x14ac:dyDescent="0.6">
      <c r="A1210" s="44"/>
      <c r="B1210" s="37"/>
      <c r="C1210" s="35"/>
      <c r="D1210" s="35"/>
      <c r="E1210" s="35" t="s">
        <v>3520</v>
      </c>
      <c r="F1210" s="36">
        <v>0</v>
      </c>
      <c r="G1210" s="35" t="s">
        <v>3521</v>
      </c>
      <c r="H1210" s="35" t="s">
        <v>3523</v>
      </c>
    </row>
    <row r="1211" spans="1:8" ht="23.1" thickBot="1" x14ac:dyDescent="0.6">
      <c r="A1211" s="44" t="s">
        <v>7829</v>
      </c>
      <c r="B1211" s="37" t="s">
        <v>6415</v>
      </c>
      <c r="C1211" s="35" t="s">
        <v>6769</v>
      </c>
      <c r="D1211" s="35" t="s">
        <v>7830</v>
      </c>
      <c r="E1211" s="35" t="s">
        <v>3524</v>
      </c>
      <c r="F1211" s="36">
        <v>0</v>
      </c>
      <c r="G1211" s="35" t="s">
        <v>3525</v>
      </c>
      <c r="H1211" s="35" t="s">
        <v>3527</v>
      </c>
    </row>
    <row r="1212" spans="1:8" ht="23.1" thickBot="1" x14ac:dyDescent="0.6">
      <c r="A1212" s="44"/>
      <c r="B1212" s="37"/>
      <c r="C1212" s="35"/>
      <c r="D1212" s="35"/>
      <c r="E1212" s="35" t="s">
        <v>3528</v>
      </c>
      <c r="F1212" s="36">
        <v>0</v>
      </c>
      <c r="G1212" s="35" t="s">
        <v>3529</v>
      </c>
      <c r="H1212" s="35" t="s">
        <v>3531</v>
      </c>
    </row>
    <row r="1213" spans="1:8" ht="23.1" thickBot="1" x14ac:dyDescent="0.6">
      <c r="A1213" s="44"/>
      <c r="B1213" s="37"/>
      <c r="C1213" s="35"/>
      <c r="D1213" s="35"/>
      <c r="E1213" s="35" t="s">
        <v>3532</v>
      </c>
      <c r="F1213" s="36">
        <v>0</v>
      </c>
      <c r="G1213" s="35" t="s">
        <v>3533</v>
      </c>
      <c r="H1213" s="35" t="s">
        <v>3535</v>
      </c>
    </row>
    <row r="1214" spans="1:8" ht="23.1" thickBot="1" x14ac:dyDescent="0.6">
      <c r="A1214" s="44"/>
      <c r="B1214" s="37"/>
      <c r="C1214" s="35" t="s">
        <v>6801</v>
      </c>
      <c r="D1214" s="35" t="s">
        <v>7831</v>
      </c>
      <c r="E1214" s="35" t="s">
        <v>3536</v>
      </c>
      <c r="F1214" s="36">
        <v>0</v>
      </c>
      <c r="G1214" s="35" t="s">
        <v>3537</v>
      </c>
      <c r="H1214" s="35" t="s">
        <v>3539</v>
      </c>
    </row>
    <row r="1215" spans="1:8" ht="23.1" thickBot="1" x14ac:dyDescent="0.6">
      <c r="A1215" s="44"/>
      <c r="B1215" s="37"/>
      <c r="C1215" s="35"/>
      <c r="D1215" s="35"/>
      <c r="E1215" s="35" t="s">
        <v>3540</v>
      </c>
      <c r="F1215" s="36">
        <v>0</v>
      </c>
      <c r="G1215" s="35" t="s">
        <v>3541</v>
      </c>
      <c r="H1215" s="35" t="s">
        <v>3543</v>
      </c>
    </row>
    <row r="1216" spans="1:8" ht="23.1" thickBot="1" x14ac:dyDescent="0.6">
      <c r="A1216" s="44"/>
      <c r="B1216" s="37"/>
      <c r="C1216" s="35"/>
      <c r="D1216" s="35"/>
      <c r="E1216" s="35" t="s">
        <v>3544</v>
      </c>
      <c r="F1216" s="36">
        <v>0</v>
      </c>
      <c r="G1216" s="35" t="s">
        <v>3545</v>
      </c>
      <c r="H1216" s="35" t="s">
        <v>3547</v>
      </c>
    </row>
    <row r="1217" spans="1:8" ht="23.1" thickBot="1" x14ac:dyDescent="0.6">
      <c r="A1217" s="44"/>
      <c r="B1217" s="37"/>
      <c r="C1217" s="35" t="s">
        <v>6761</v>
      </c>
      <c r="D1217" s="35" t="s">
        <v>7832</v>
      </c>
      <c r="E1217" s="35" t="s">
        <v>3548</v>
      </c>
      <c r="F1217" s="36">
        <v>0</v>
      </c>
      <c r="G1217" s="35" t="s">
        <v>3549</v>
      </c>
      <c r="H1217" s="35" t="s">
        <v>3551</v>
      </c>
    </row>
    <row r="1218" spans="1:8" ht="23.1" thickBot="1" x14ac:dyDescent="0.6">
      <c r="A1218" s="44"/>
      <c r="B1218" s="37"/>
      <c r="C1218" s="35" t="s">
        <v>6761</v>
      </c>
      <c r="D1218" s="35" t="s">
        <v>7833</v>
      </c>
      <c r="E1218" s="35" t="s">
        <v>3552</v>
      </c>
      <c r="F1218" s="36">
        <v>0</v>
      </c>
      <c r="G1218" s="35" t="s">
        <v>2557</v>
      </c>
      <c r="H1218" s="35" t="s">
        <v>3554</v>
      </c>
    </row>
    <row r="1219" spans="1:8" ht="23.1" thickBot="1" x14ac:dyDescent="0.6">
      <c r="A1219" s="44"/>
      <c r="B1219" s="37"/>
      <c r="C1219" s="35"/>
      <c r="D1219" s="35"/>
      <c r="E1219" s="35" t="s">
        <v>3555</v>
      </c>
      <c r="F1219" s="36">
        <v>0</v>
      </c>
      <c r="G1219" s="35" t="s">
        <v>3556</v>
      </c>
      <c r="H1219" s="35" t="s">
        <v>3558</v>
      </c>
    </row>
    <row r="1220" spans="1:8" ht="23.1" thickBot="1" x14ac:dyDescent="0.6">
      <c r="A1220" s="44"/>
      <c r="B1220" s="37"/>
      <c r="C1220" s="35" t="s">
        <v>6761</v>
      </c>
      <c r="D1220" s="35" t="s">
        <v>7834</v>
      </c>
      <c r="E1220" s="35" t="s">
        <v>3559</v>
      </c>
      <c r="F1220" s="36">
        <v>0</v>
      </c>
      <c r="G1220" s="35" t="s">
        <v>3560</v>
      </c>
      <c r="H1220" s="35" t="s">
        <v>3562</v>
      </c>
    </row>
    <row r="1221" spans="1:8" ht="23.1" thickBot="1" x14ac:dyDescent="0.6">
      <c r="A1221" s="44"/>
      <c r="B1221" s="37"/>
      <c r="C1221" s="35"/>
      <c r="D1221" s="35"/>
      <c r="E1221" s="35" t="s">
        <v>3563</v>
      </c>
      <c r="F1221" s="36">
        <v>0</v>
      </c>
      <c r="G1221" s="35" t="s">
        <v>3564</v>
      </c>
      <c r="H1221" s="35" t="s">
        <v>3566</v>
      </c>
    </row>
    <row r="1222" spans="1:8" ht="23.1" thickBot="1" x14ac:dyDescent="0.6">
      <c r="A1222" s="44"/>
      <c r="B1222" s="37"/>
      <c r="C1222" s="35"/>
      <c r="D1222" s="35"/>
      <c r="E1222" s="35" t="s">
        <v>3567</v>
      </c>
      <c r="F1222" s="36">
        <v>0</v>
      </c>
      <c r="G1222" s="35" t="s">
        <v>3568</v>
      </c>
      <c r="H1222" s="35" t="s">
        <v>3570</v>
      </c>
    </row>
    <row r="1223" spans="1:8" ht="23.1" thickBot="1" x14ac:dyDescent="0.6">
      <c r="A1223" s="44"/>
      <c r="B1223" s="37"/>
      <c r="C1223" s="35" t="s">
        <v>6801</v>
      </c>
      <c r="D1223" s="35" t="s">
        <v>7835</v>
      </c>
      <c r="E1223" s="35" t="s">
        <v>3571</v>
      </c>
      <c r="F1223" s="36">
        <v>0</v>
      </c>
      <c r="G1223" s="35" t="s">
        <v>3572</v>
      </c>
      <c r="H1223" s="35" t="s">
        <v>3574</v>
      </c>
    </row>
    <row r="1224" spans="1:8" ht="23.1" thickBot="1" x14ac:dyDescent="0.6">
      <c r="A1224" s="44"/>
      <c r="B1224" s="37"/>
      <c r="C1224" s="35" t="s">
        <v>6760</v>
      </c>
      <c r="D1224" s="35" t="s">
        <v>7836</v>
      </c>
      <c r="E1224" s="35" t="s">
        <v>3571</v>
      </c>
      <c r="F1224" s="36">
        <v>0</v>
      </c>
      <c r="G1224" s="35" t="s">
        <v>3572</v>
      </c>
      <c r="H1224" s="35" t="s">
        <v>3574</v>
      </c>
    </row>
    <row r="1225" spans="1:8" ht="23.1" thickBot="1" x14ac:dyDescent="0.6">
      <c r="A1225" s="44"/>
      <c r="B1225" s="37"/>
      <c r="C1225" s="35" t="s">
        <v>6761</v>
      </c>
      <c r="D1225" s="35" t="s">
        <v>7837</v>
      </c>
      <c r="E1225" s="35" t="s">
        <v>3571</v>
      </c>
      <c r="F1225" s="36">
        <v>0</v>
      </c>
      <c r="G1225" s="35" t="s">
        <v>3572</v>
      </c>
      <c r="H1225" s="35" t="s">
        <v>3574</v>
      </c>
    </row>
    <row r="1226" spans="1:8" ht="23.1" thickBot="1" x14ac:dyDescent="0.6">
      <c r="A1226" s="44"/>
      <c r="B1226" s="37"/>
      <c r="C1226" s="35"/>
      <c r="D1226" s="35"/>
      <c r="E1226" s="35" t="s">
        <v>3575</v>
      </c>
      <c r="F1226" s="36">
        <v>0</v>
      </c>
      <c r="G1226" s="35" t="s">
        <v>3576</v>
      </c>
      <c r="H1226" s="35" t="s">
        <v>3578</v>
      </c>
    </row>
    <row r="1227" spans="1:8" ht="23.1" thickBot="1" x14ac:dyDescent="0.6">
      <c r="A1227" s="44"/>
      <c r="B1227" s="37"/>
      <c r="C1227" s="35"/>
      <c r="D1227" s="35"/>
      <c r="E1227" s="35" t="s">
        <v>3579</v>
      </c>
      <c r="F1227" s="36">
        <v>0</v>
      </c>
      <c r="G1227" s="35" t="s">
        <v>3580</v>
      </c>
      <c r="H1227" s="35" t="s">
        <v>3582</v>
      </c>
    </row>
    <row r="1228" spans="1:8" ht="23.1" thickBot="1" x14ac:dyDescent="0.6">
      <c r="A1228" s="44"/>
      <c r="B1228" s="37"/>
      <c r="C1228" s="35"/>
      <c r="D1228" s="35"/>
      <c r="E1228" s="35" t="s">
        <v>3583</v>
      </c>
      <c r="F1228" s="36">
        <v>0</v>
      </c>
      <c r="G1228" s="35" t="s">
        <v>3584</v>
      </c>
      <c r="H1228" s="35" t="s">
        <v>3586</v>
      </c>
    </row>
    <row r="1229" spans="1:8" ht="23.1" thickBot="1" x14ac:dyDescent="0.6">
      <c r="A1229" s="44"/>
      <c r="B1229" s="37"/>
      <c r="C1229" s="35"/>
      <c r="D1229" s="35"/>
      <c r="E1229" s="35" t="s">
        <v>3587</v>
      </c>
      <c r="F1229" s="36">
        <v>0</v>
      </c>
      <c r="G1229" s="35" t="s">
        <v>3588</v>
      </c>
      <c r="H1229" s="35" t="s">
        <v>3590</v>
      </c>
    </row>
    <row r="1230" spans="1:8" ht="23.1" thickBot="1" x14ac:dyDescent="0.6">
      <c r="A1230" s="44"/>
      <c r="B1230" s="37"/>
      <c r="C1230" s="35"/>
      <c r="D1230" s="35"/>
      <c r="E1230" s="35" t="s">
        <v>3591</v>
      </c>
      <c r="F1230" s="36">
        <v>0</v>
      </c>
      <c r="G1230" s="35" t="s">
        <v>3592</v>
      </c>
      <c r="H1230" s="35" t="s">
        <v>3594</v>
      </c>
    </row>
    <row r="1231" spans="1:8" ht="23.1" thickBot="1" x14ac:dyDescent="0.6">
      <c r="A1231" s="44"/>
      <c r="B1231" s="37"/>
      <c r="C1231" s="35"/>
      <c r="D1231" s="35"/>
      <c r="E1231" s="35" t="s">
        <v>3595</v>
      </c>
      <c r="F1231" s="36">
        <v>0</v>
      </c>
      <c r="G1231" s="35" t="s">
        <v>3596</v>
      </c>
      <c r="H1231" s="35" t="s">
        <v>3598</v>
      </c>
    </row>
    <row r="1232" spans="1:8" ht="23.1" thickBot="1" x14ac:dyDescent="0.6">
      <c r="A1232" s="44"/>
      <c r="B1232" s="37"/>
      <c r="C1232" s="35" t="s">
        <v>6801</v>
      </c>
      <c r="D1232" s="35" t="s">
        <v>7838</v>
      </c>
      <c r="E1232" s="35" t="s">
        <v>3599</v>
      </c>
      <c r="F1232" s="36">
        <v>0</v>
      </c>
      <c r="G1232" s="35" t="s">
        <v>3600</v>
      </c>
      <c r="H1232" s="35" t="s">
        <v>3602</v>
      </c>
    </row>
    <row r="1233" spans="1:8" ht="23.1" thickBot="1" x14ac:dyDescent="0.6">
      <c r="A1233" s="44"/>
      <c r="B1233" s="37"/>
      <c r="C1233" s="35"/>
      <c r="D1233" s="35"/>
      <c r="E1233" s="35" t="s">
        <v>3603</v>
      </c>
      <c r="F1233" s="36">
        <v>0</v>
      </c>
      <c r="G1233" s="35" t="s">
        <v>3604</v>
      </c>
      <c r="H1233" s="35" t="s">
        <v>3606</v>
      </c>
    </row>
    <row r="1234" spans="1:8" ht="23.1" thickBot="1" x14ac:dyDescent="0.6">
      <c r="A1234" s="44"/>
      <c r="B1234" s="37"/>
      <c r="C1234" s="35"/>
      <c r="D1234" s="35"/>
      <c r="E1234" s="35" t="s">
        <v>3607</v>
      </c>
      <c r="F1234" s="36">
        <v>0</v>
      </c>
      <c r="G1234" s="35" t="s">
        <v>3608</v>
      </c>
      <c r="H1234" s="35" t="s">
        <v>3610</v>
      </c>
    </row>
    <row r="1235" spans="1:8" ht="23.1" thickBot="1" x14ac:dyDescent="0.6">
      <c r="A1235" s="44"/>
      <c r="B1235" s="37"/>
      <c r="C1235" s="35" t="s">
        <v>6820</v>
      </c>
      <c r="D1235" s="35" t="s">
        <v>7839</v>
      </c>
      <c r="E1235" s="35" t="s">
        <v>3611</v>
      </c>
      <c r="F1235" s="36">
        <v>0</v>
      </c>
      <c r="G1235" s="35" t="s">
        <v>3612</v>
      </c>
      <c r="H1235" s="35" t="s">
        <v>3614</v>
      </c>
    </row>
    <row r="1236" spans="1:8" ht="23.1" thickBot="1" x14ac:dyDescent="0.6">
      <c r="A1236" s="44"/>
      <c r="B1236" s="37"/>
      <c r="C1236" s="35" t="s">
        <v>6801</v>
      </c>
      <c r="D1236" s="35" t="s">
        <v>7840</v>
      </c>
      <c r="E1236" s="35" t="s">
        <v>3615</v>
      </c>
      <c r="F1236" s="36">
        <v>0</v>
      </c>
      <c r="G1236" s="35" t="s">
        <v>3616</v>
      </c>
      <c r="H1236" s="35" t="s">
        <v>3618</v>
      </c>
    </row>
    <row r="1237" spans="1:8" ht="23.1" thickBot="1" x14ac:dyDescent="0.6">
      <c r="A1237" s="44"/>
      <c r="B1237" s="37"/>
      <c r="C1237" s="35" t="s">
        <v>6761</v>
      </c>
      <c r="D1237" s="35" t="s">
        <v>7841</v>
      </c>
      <c r="E1237" s="35" t="s">
        <v>3615</v>
      </c>
      <c r="F1237" s="36">
        <v>0</v>
      </c>
      <c r="G1237" s="35" t="s">
        <v>3616</v>
      </c>
      <c r="H1237" s="35" t="s">
        <v>3618</v>
      </c>
    </row>
    <row r="1238" spans="1:8" ht="23.1" thickBot="1" x14ac:dyDescent="0.6">
      <c r="A1238" s="44"/>
      <c r="B1238" s="37"/>
      <c r="C1238" s="35"/>
      <c r="D1238" s="35"/>
      <c r="E1238" s="35" t="s">
        <v>3619</v>
      </c>
      <c r="F1238" s="36">
        <v>0</v>
      </c>
      <c r="G1238" s="35" t="s">
        <v>3620</v>
      </c>
      <c r="H1238" s="35" t="s">
        <v>3622</v>
      </c>
    </row>
    <row r="1239" spans="1:8" ht="23.1" thickBot="1" x14ac:dyDescent="0.6">
      <c r="A1239" s="44"/>
      <c r="B1239" s="37"/>
      <c r="C1239" s="35"/>
      <c r="D1239" s="35"/>
      <c r="E1239" s="35" t="s">
        <v>3623</v>
      </c>
      <c r="F1239" s="36">
        <v>0</v>
      </c>
      <c r="G1239" s="35" t="s">
        <v>3624</v>
      </c>
      <c r="H1239" s="35" t="s">
        <v>3626</v>
      </c>
    </row>
    <row r="1240" spans="1:8" ht="23.1" thickBot="1" x14ac:dyDescent="0.6">
      <c r="A1240" s="44"/>
      <c r="B1240" s="37"/>
      <c r="C1240" s="35"/>
      <c r="D1240" s="35"/>
      <c r="E1240" s="35" t="s">
        <v>3627</v>
      </c>
      <c r="F1240" s="36">
        <v>0</v>
      </c>
      <c r="G1240" s="35" t="s">
        <v>3628</v>
      </c>
      <c r="H1240" s="35" t="s">
        <v>3630</v>
      </c>
    </row>
    <row r="1241" spans="1:8" ht="23.1" thickBot="1" x14ac:dyDescent="0.6">
      <c r="A1241" s="44"/>
      <c r="B1241" s="37"/>
      <c r="C1241" s="35"/>
      <c r="D1241" s="35"/>
      <c r="E1241" s="35" t="s">
        <v>3631</v>
      </c>
      <c r="F1241" s="36">
        <v>0</v>
      </c>
      <c r="G1241" s="35" t="s">
        <v>3632</v>
      </c>
      <c r="H1241" s="35" t="s">
        <v>3634</v>
      </c>
    </row>
    <row r="1242" spans="1:8" ht="23.1" thickBot="1" x14ac:dyDescent="0.6">
      <c r="A1242" s="44"/>
      <c r="B1242" s="37"/>
      <c r="C1242" s="35" t="s">
        <v>6761</v>
      </c>
      <c r="D1242" s="35" t="s">
        <v>7842</v>
      </c>
      <c r="E1242" s="35" t="s">
        <v>3635</v>
      </c>
      <c r="F1242" s="36">
        <v>0</v>
      </c>
      <c r="G1242" s="35" t="s">
        <v>3636</v>
      </c>
      <c r="H1242" s="35" t="s">
        <v>3638</v>
      </c>
    </row>
    <row r="1243" spans="1:8" ht="23.1" thickBot="1" x14ac:dyDescent="0.6">
      <c r="A1243" s="44"/>
      <c r="B1243" s="37"/>
      <c r="C1243" s="35"/>
      <c r="D1243" s="35"/>
      <c r="E1243" s="35" t="s">
        <v>3639</v>
      </c>
      <c r="F1243" s="36">
        <v>0</v>
      </c>
      <c r="G1243" s="35" t="s">
        <v>3640</v>
      </c>
      <c r="H1243" s="35" t="s">
        <v>3642</v>
      </c>
    </row>
    <row r="1244" spans="1:8" ht="23.1" thickBot="1" x14ac:dyDescent="0.6">
      <c r="A1244" s="44"/>
      <c r="B1244" s="37"/>
      <c r="C1244" s="35"/>
      <c r="D1244" s="35"/>
      <c r="E1244" s="35" t="s">
        <v>3643</v>
      </c>
      <c r="F1244" s="36">
        <v>0</v>
      </c>
      <c r="G1244" s="35" t="s">
        <v>3644</v>
      </c>
      <c r="H1244" s="35" t="s">
        <v>3646</v>
      </c>
    </row>
    <row r="1245" spans="1:8" ht="23.1" thickBot="1" x14ac:dyDescent="0.6">
      <c r="A1245" s="44"/>
      <c r="B1245" s="37"/>
      <c r="C1245" s="35"/>
      <c r="D1245" s="35"/>
      <c r="E1245" s="35" t="s">
        <v>3647</v>
      </c>
      <c r="F1245" s="36">
        <v>0</v>
      </c>
      <c r="G1245" s="35" t="s">
        <v>3648</v>
      </c>
      <c r="H1245" s="35" t="s">
        <v>3650</v>
      </c>
    </row>
    <row r="1246" spans="1:8" ht="23.1" thickBot="1" x14ac:dyDescent="0.6">
      <c r="A1246" s="44"/>
      <c r="B1246" s="37"/>
      <c r="C1246" s="35"/>
      <c r="D1246" s="35"/>
      <c r="E1246" s="35" t="s">
        <v>3651</v>
      </c>
      <c r="F1246" s="36">
        <v>0</v>
      </c>
      <c r="G1246" s="35" t="s">
        <v>3652</v>
      </c>
      <c r="H1246" s="35" t="s">
        <v>3654</v>
      </c>
    </row>
    <row r="1247" spans="1:8" ht="23.1" thickBot="1" x14ac:dyDescent="0.6">
      <c r="A1247" s="44"/>
      <c r="B1247" s="37"/>
      <c r="C1247" s="35"/>
      <c r="D1247" s="35"/>
      <c r="E1247" s="35" t="s">
        <v>3655</v>
      </c>
      <c r="F1247" s="36">
        <v>0</v>
      </c>
      <c r="G1247" s="35" t="s">
        <v>3656</v>
      </c>
      <c r="H1247" s="35" t="s">
        <v>3658</v>
      </c>
    </row>
    <row r="1248" spans="1:8" ht="23.1" thickBot="1" x14ac:dyDescent="0.6">
      <c r="A1248" s="44"/>
      <c r="B1248" s="37"/>
      <c r="C1248" s="35"/>
      <c r="D1248" s="35"/>
      <c r="E1248" s="35" t="s">
        <v>3659</v>
      </c>
      <c r="F1248" s="36">
        <v>0</v>
      </c>
      <c r="G1248" s="35" t="s">
        <v>3660</v>
      </c>
      <c r="H1248" s="35" t="s">
        <v>3662</v>
      </c>
    </row>
    <row r="1249" spans="1:8" ht="23.1" thickBot="1" x14ac:dyDescent="0.6">
      <c r="A1249" s="44"/>
      <c r="B1249" s="37"/>
      <c r="C1249" s="35"/>
      <c r="D1249" s="35"/>
      <c r="E1249" s="35" t="s">
        <v>3663</v>
      </c>
      <c r="F1249" s="36">
        <v>0</v>
      </c>
      <c r="G1249" s="35" t="s">
        <v>3664</v>
      </c>
      <c r="H1249" s="35" t="s">
        <v>3666</v>
      </c>
    </row>
    <row r="1250" spans="1:8" ht="23.1" thickBot="1" x14ac:dyDescent="0.6">
      <c r="A1250" s="44"/>
      <c r="B1250" s="37"/>
      <c r="C1250" s="35"/>
      <c r="D1250" s="35"/>
      <c r="E1250" s="35" t="s">
        <v>3667</v>
      </c>
      <c r="F1250" s="36">
        <v>0</v>
      </c>
      <c r="G1250" s="35" t="s">
        <v>3668</v>
      </c>
      <c r="H1250" s="35" t="s">
        <v>3670</v>
      </c>
    </row>
    <row r="1251" spans="1:8" ht="23.1" thickBot="1" x14ac:dyDescent="0.6">
      <c r="A1251" s="44"/>
      <c r="B1251" s="37"/>
      <c r="C1251" s="35"/>
      <c r="D1251" s="35"/>
      <c r="E1251" s="35" t="s">
        <v>3671</v>
      </c>
      <c r="F1251" s="36">
        <v>0</v>
      </c>
      <c r="G1251" s="35" t="s">
        <v>3672</v>
      </c>
      <c r="H1251" s="35" t="s">
        <v>3674</v>
      </c>
    </row>
    <row r="1252" spans="1:8" ht="23.1" thickBot="1" x14ac:dyDescent="0.6">
      <c r="A1252" s="44"/>
      <c r="B1252" s="37"/>
      <c r="C1252" s="35" t="s">
        <v>6747</v>
      </c>
      <c r="D1252" s="35" t="s">
        <v>7843</v>
      </c>
      <c r="E1252" s="35"/>
      <c r="F1252" s="36"/>
      <c r="G1252" s="35"/>
      <c r="H1252" s="35"/>
    </row>
    <row r="1253" spans="1:8" ht="23.1" thickBot="1" x14ac:dyDescent="0.6">
      <c r="A1253" s="44"/>
      <c r="B1253" s="37"/>
      <c r="C1253" s="35"/>
      <c r="D1253" s="35"/>
      <c r="E1253" s="35" t="s">
        <v>3675</v>
      </c>
      <c r="F1253" s="36">
        <v>0</v>
      </c>
      <c r="G1253" s="35" t="s">
        <v>3676</v>
      </c>
      <c r="H1253" s="35" t="s">
        <v>3678</v>
      </c>
    </row>
    <row r="1254" spans="1:8" ht="23.1" thickBot="1" x14ac:dyDescent="0.6">
      <c r="A1254" s="44"/>
      <c r="B1254" s="37"/>
      <c r="C1254" s="35"/>
      <c r="D1254" s="35"/>
      <c r="E1254" s="35" t="s">
        <v>3679</v>
      </c>
      <c r="F1254" s="36">
        <v>0</v>
      </c>
      <c r="G1254" s="35" t="s">
        <v>3680</v>
      </c>
      <c r="H1254" s="35" t="s">
        <v>3682</v>
      </c>
    </row>
    <row r="1255" spans="1:8" ht="23.1" thickBot="1" x14ac:dyDescent="0.6">
      <c r="A1255" s="44"/>
      <c r="B1255" s="37"/>
      <c r="C1255" s="35"/>
      <c r="D1255" s="35"/>
      <c r="E1255" s="35" t="s">
        <v>3683</v>
      </c>
      <c r="F1255" s="36">
        <v>0</v>
      </c>
      <c r="G1255" s="35" t="s">
        <v>3684</v>
      </c>
      <c r="H1255" s="35" t="s">
        <v>3686</v>
      </c>
    </row>
    <row r="1256" spans="1:8" ht="23.1" thickBot="1" x14ac:dyDescent="0.6">
      <c r="A1256" s="44"/>
      <c r="B1256" s="37"/>
      <c r="C1256" s="35"/>
      <c r="D1256" s="35"/>
      <c r="E1256" s="35" t="s">
        <v>3687</v>
      </c>
      <c r="F1256" s="36">
        <v>0</v>
      </c>
      <c r="G1256" s="35" t="s">
        <v>3688</v>
      </c>
      <c r="H1256" s="35" t="s">
        <v>3690</v>
      </c>
    </row>
    <row r="1257" spans="1:8" ht="23.1" thickBot="1" x14ac:dyDescent="0.6">
      <c r="A1257" s="44"/>
      <c r="B1257" s="37"/>
      <c r="C1257" s="35"/>
      <c r="D1257" s="35"/>
      <c r="E1257" s="35" t="s">
        <v>3691</v>
      </c>
      <c r="F1257" s="36">
        <v>0</v>
      </c>
      <c r="G1257" s="35" t="s">
        <v>3692</v>
      </c>
      <c r="H1257" s="35" t="s">
        <v>3694</v>
      </c>
    </row>
    <row r="1258" spans="1:8" ht="23.1" thickBot="1" x14ac:dyDescent="0.6">
      <c r="A1258" s="44"/>
      <c r="B1258" s="37"/>
      <c r="C1258" s="35"/>
      <c r="D1258" s="35"/>
      <c r="E1258" s="35" t="s">
        <v>3695</v>
      </c>
      <c r="F1258" s="36">
        <v>0</v>
      </c>
      <c r="G1258" s="35" t="s">
        <v>3696</v>
      </c>
      <c r="H1258" s="35" t="s">
        <v>3698</v>
      </c>
    </row>
    <row r="1259" spans="1:8" ht="23.1" thickBot="1" x14ac:dyDescent="0.6">
      <c r="A1259" s="44"/>
      <c r="B1259" s="37"/>
      <c r="C1259" s="35"/>
      <c r="D1259" s="35"/>
      <c r="E1259" s="35" t="s">
        <v>3699</v>
      </c>
      <c r="F1259" s="36">
        <v>0</v>
      </c>
      <c r="G1259" s="35" t="s">
        <v>3700</v>
      </c>
      <c r="H1259" s="35" t="s">
        <v>3702</v>
      </c>
    </row>
    <row r="1260" spans="1:8" ht="23.1" thickBot="1" x14ac:dyDescent="0.6">
      <c r="A1260" s="44"/>
      <c r="B1260" s="37"/>
      <c r="C1260" s="35"/>
      <c r="D1260" s="35"/>
      <c r="E1260" s="35" t="s">
        <v>3703</v>
      </c>
      <c r="F1260" s="36">
        <v>0</v>
      </c>
      <c r="G1260" s="35" t="s">
        <v>3704</v>
      </c>
      <c r="H1260" s="35" t="s">
        <v>3706</v>
      </c>
    </row>
    <row r="1261" spans="1:8" ht="23.1" thickBot="1" x14ac:dyDescent="0.6">
      <c r="A1261" s="44"/>
      <c r="B1261" s="37"/>
      <c r="C1261" s="35"/>
      <c r="D1261" s="35"/>
      <c r="E1261" s="35" t="s">
        <v>3707</v>
      </c>
      <c r="F1261" s="36">
        <v>0</v>
      </c>
      <c r="G1261" s="35" t="s">
        <v>3708</v>
      </c>
      <c r="H1261" s="35" t="s">
        <v>3710</v>
      </c>
    </row>
    <row r="1262" spans="1:8" ht="23.1" thickBot="1" x14ac:dyDescent="0.6">
      <c r="A1262" s="44"/>
      <c r="B1262" s="37"/>
      <c r="C1262" s="35"/>
      <c r="D1262" s="35"/>
      <c r="E1262" s="35" t="s">
        <v>3711</v>
      </c>
      <c r="F1262" s="36">
        <v>0</v>
      </c>
      <c r="G1262" s="35" t="s">
        <v>3712</v>
      </c>
      <c r="H1262" s="35" t="s">
        <v>3714</v>
      </c>
    </row>
    <row r="1263" spans="1:8" ht="23.1" thickBot="1" x14ac:dyDescent="0.6">
      <c r="A1263" s="44"/>
      <c r="B1263" s="37"/>
      <c r="C1263" s="35"/>
      <c r="D1263" s="35"/>
      <c r="E1263" s="35" t="s">
        <v>3715</v>
      </c>
      <c r="F1263" s="36">
        <v>0</v>
      </c>
      <c r="G1263" s="35" t="s">
        <v>3716</v>
      </c>
      <c r="H1263" s="35" t="s">
        <v>3718</v>
      </c>
    </row>
    <row r="1264" spans="1:8" ht="23.1" thickBot="1" x14ac:dyDescent="0.6">
      <c r="A1264" s="44"/>
      <c r="B1264" s="37"/>
      <c r="C1264" s="35"/>
      <c r="D1264" s="35"/>
      <c r="E1264" s="35" t="s">
        <v>3719</v>
      </c>
      <c r="F1264" s="36">
        <v>0</v>
      </c>
      <c r="G1264" s="35" t="s">
        <v>3720</v>
      </c>
      <c r="H1264" s="35" t="s">
        <v>3722</v>
      </c>
    </row>
    <row r="1265" spans="1:8" ht="23.1" thickBot="1" x14ac:dyDescent="0.6">
      <c r="A1265" s="44"/>
      <c r="B1265" s="37"/>
      <c r="C1265" s="35"/>
      <c r="D1265" s="35"/>
      <c r="E1265" s="35" t="s">
        <v>3723</v>
      </c>
      <c r="F1265" s="36">
        <v>0</v>
      </c>
      <c r="G1265" s="35" t="s">
        <v>3724</v>
      </c>
      <c r="H1265" s="35" t="s">
        <v>3726</v>
      </c>
    </row>
    <row r="1266" spans="1:8" ht="23.1" thickBot="1" x14ac:dyDescent="0.6">
      <c r="A1266" s="44"/>
      <c r="B1266" s="37"/>
      <c r="C1266" s="35"/>
      <c r="D1266" s="35"/>
      <c r="E1266" s="35" t="s">
        <v>3727</v>
      </c>
      <c r="F1266" s="36">
        <v>0</v>
      </c>
      <c r="G1266" s="35" t="s">
        <v>3728</v>
      </c>
      <c r="H1266" s="35" t="s">
        <v>3730</v>
      </c>
    </row>
    <row r="1267" spans="1:8" ht="23.1" thickBot="1" x14ac:dyDescent="0.6">
      <c r="A1267" s="44"/>
      <c r="B1267" s="37"/>
      <c r="C1267" s="35"/>
      <c r="D1267" s="35"/>
      <c r="E1267" s="35" t="s">
        <v>3731</v>
      </c>
      <c r="F1267" s="36">
        <v>0</v>
      </c>
      <c r="G1267" s="35" t="s">
        <v>3732</v>
      </c>
      <c r="H1267" s="35" t="s">
        <v>3734</v>
      </c>
    </row>
    <row r="1268" spans="1:8" ht="23.1" thickBot="1" x14ac:dyDescent="0.6">
      <c r="A1268" s="44" t="s">
        <v>7844</v>
      </c>
      <c r="B1268" s="37" t="s">
        <v>6533</v>
      </c>
      <c r="C1268" s="35" t="s">
        <v>6748</v>
      </c>
      <c r="D1268" s="35" t="s">
        <v>7845</v>
      </c>
      <c r="E1268" s="35" t="s">
        <v>3735</v>
      </c>
      <c r="F1268" s="36">
        <v>0</v>
      </c>
      <c r="G1268" s="35" t="s">
        <v>1846</v>
      </c>
      <c r="H1268" s="35" t="s">
        <v>3737</v>
      </c>
    </row>
    <row r="1269" spans="1:8" ht="23.1" thickBot="1" x14ac:dyDescent="0.6">
      <c r="A1269" s="44"/>
      <c r="B1269" s="37"/>
      <c r="C1269" s="35" t="s">
        <v>6749</v>
      </c>
      <c r="D1269" s="35" t="s">
        <v>7846</v>
      </c>
      <c r="E1269" s="35" t="s">
        <v>3735</v>
      </c>
      <c r="F1269" s="36">
        <v>0</v>
      </c>
      <c r="G1269" s="35" t="s">
        <v>1846</v>
      </c>
      <c r="H1269" s="35" t="s">
        <v>3737</v>
      </c>
    </row>
    <row r="1270" spans="1:8" ht="23.1" thickBot="1" x14ac:dyDescent="0.6">
      <c r="A1270" s="44"/>
      <c r="B1270" s="37"/>
      <c r="C1270" s="35"/>
      <c r="D1270" s="35"/>
      <c r="E1270" s="35" t="s">
        <v>3738</v>
      </c>
      <c r="F1270" s="36">
        <v>0</v>
      </c>
      <c r="G1270" s="35" t="s">
        <v>3739</v>
      </c>
      <c r="H1270" s="35" t="s">
        <v>3741</v>
      </c>
    </row>
    <row r="1271" spans="1:8" ht="23.1" thickBot="1" x14ac:dyDescent="0.6">
      <c r="A1271" s="44"/>
      <c r="B1271" s="37"/>
      <c r="C1271" s="35"/>
      <c r="D1271" s="35"/>
      <c r="E1271" s="35" t="s">
        <v>3742</v>
      </c>
      <c r="F1271" s="36">
        <v>0</v>
      </c>
      <c r="G1271" s="35" t="s">
        <v>3743</v>
      </c>
      <c r="H1271" s="35" t="s">
        <v>3745</v>
      </c>
    </row>
    <row r="1272" spans="1:8" ht="23.1" thickBot="1" x14ac:dyDescent="0.6">
      <c r="A1272" s="44"/>
      <c r="B1272" s="37"/>
      <c r="C1272" s="35"/>
      <c r="D1272" s="35"/>
      <c r="E1272" s="35" t="s">
        <v>3746</v>
      </c>
      <c r="F1272" s="36">
        <v>0</v>
      </c>
      <c r="G1272" s="35" t="s">
        <v>3747</v>
      </c>
      <c r="H1272" s="35" t="s">
        <v>3749</v>
      </c>
    </row>
    <row r="1273" spans="1:8" ht="14.7" thickBot="1" x14ac:dyDescent="0.6">
      <c r="A1273" s="44"/>
      <c r="B1273" s="37"/>
      <c r="C1273" s="35" t="s">
        <v>6747</v>
      </c>
      <c r="D1273" s="35" t="s">
        <v>7847</v>
      </c>
      <c r="E1273" s="35"/>
      <c r="F1273" s="36"/>
      <c r="G1273" s="35"/>
      <c r="H1273" s="35"/>
    </row>
    <row r="1274" spans="1:8" ht="23.1" thickBot="1" x14ac:dyDescent="0.6">
      <c r="A1274" s="44" t="s">
        <v>7848</v>
      </c>
      <c r="B1274" s="37" t="s">
        <v>6361</v>
      </c>
      <c r="C1274" s="35" t="s">
        <v>6749</v>
      </c>
      <c r="D1274" s="35" t="s">
        <v>7849</v>
      </c>
      <c r="E1274" s="35" t="s">
        <v>3750</v>
      </c>
      <c r="F1274" s="36">
        <v>0</v>
      </c>
      <c r="G1274" s="35" t="s">
        <v>3751</v>
      </c>
      <c r="H1274" s="35" t="s">
        <v>3753</v>
      </c>
    </row>
    <row r="1275" spans="1:8" ht="23.1" thickBot="1" x14ac:dyDescent="0.6">
      <c r="A1275" s="44"/>
      <c r="B1275" s="37"/>
      <c r="C1275" s="35"/>
      <c r="D1275" s="35"/>
      <c r="E1275" s="35" t="s">
        <v>3754</v>
      </c>
      <c r="F1275" s="36">
        <v>0</v>
      </c>
      <c r="G1275" s="35" t="s">
        <v>3755</v>
      </c>
      <c r="H1275" s="35" t="s">
        <v>3757</v>
      </c>
    </row>
    <row r="1276" spans="1:8" ht="23.1" thickBot="1" x14ac:dyDescent="0.6">
      <c r="A1276" s="44"/>
      <c r="B1276" s="37"/>
      <c r="C1276" s="35"/>
      <c r="D1276" s="35"/>
      <c r="E1276" s="35" t="s">
        <v>3758</v>
      </c>
      <c r="F1276" s="36">
        <v>0</v>
      </c>
      <c r="G1276" s="35" t="s">
        <v>3759</v>
      </c>
      <c r="H1276" s="35" t="s">
        <v>3761</v>
      </c>
    </row>
    <row r="1277" spans="1:8" ht="23.1" thickBot="1" x14ac:dyDescent="0.6">
      <c r="A1277" s="44" t="s">
        <v>7850</v>
      </c>
      <c r="B1277" s="37" t="s">
        <v>6507</v>
      </c>
      <c r="C1277" s="35" t="s">
        <v>6748</v>
      </c>
      <c r="D1277" s="35" t="s">
        <v>7851</v>
      </c>
      <c r="E1277" s="35" t="s">
        <v>3762</v>
      </c>
      <c r="F1277" s="36">
        <v>0</v>
      </c>
      <c r="G1277" s="35" t="s">
        <v>3763</v>
      </c>
      <c r="H1277" s="35" t="s">
        <v>3765</v>
      </c>
    </row>
    <row r="1278" spans="1:8" ht="23.1" thickBot="1" x14ac:dyDescent="0.6">
      <c r="A1278" s="44"/>
      <c r="B1278" s="37"/>
      <c r="C1278" s="35" t="s">
        <v>6749</v>
      </c>
      <c r="D1278" s="35" t="s">
        <v>7852</v>
      </c>
      <c r="E1278" s="35" t="s">
        <v>3762</v>
      </c>
      <c r="F1278" s="36">
        <v>0</v>
      </c>
      <c r="G1278" s="35" t="s">
        <v>3763</v>
      </c>
      <c r="H1278" s="35" t="s">
        <v>3765</v>
      </c>
    </row>
    <row r="1279" spans="1:8" ht="23.1" thickBot="1" x14ac:dyDescent="0.6">
      <c r="A1279" s="44" t="s">
        <v>7853</v>
      </c>
      <c r="B1279" s="37" t="s">
        <v>6508</v>
      </c>
      <c r="C1279" s="35" t="s">
        <v>6748</v>
      </c>
      <c r="D1279" s="35" t="s">
        <v>7854</v>
      </c>
      <c r="E1279" s="35" t="s">
        <v>3766</v>
      </c>
      <c r="F1279" s="36">
        <v>0</v>
      </c>
      <c r="G1279" s="35" t="s">
        <v>3767</v>
      </c>
      <c r="H1279" s="35" t="s">
        <v>3769</v>
      </c>
    </row>
    <row r="1280" spans="1:8" ht="23.1" thickBot="1" x14ac:dyDescent="0.6">
      <c r="A1280" s="44" t="s">
        <v>7855</v>
      </c>
      <c r="B1280" s="37" t="s">
        <v>6539</v>
      </c>
      <c r="C1280" s="35" t="s">
        <v>6749</v>
      </c>
      <c r="D1280" s="35" t="s">
        <v>7856</v>
      </c>
      <c r="E1280" s="35" t="s">
        <v>3766</v>
      </c>
      <c r="F1280" s="36">
        <v>0</v>
      </c>
      <c r="G1280" s="35" t="s">
        <v>3767</v>
      </c>
      <c r="H1280" s="35" t="s">
        <v>3769</v>
      </c>
    </row>
    <row r="1281" spans="1:8" ht="23.1" thickBot="1" x14ac:dyDescent="0.6">
      <c r="A1281" s="44" t="s">
        <v>7857</v>
      </c>
      <c r="B1281" s="37" t="s">
        <v>6676</v>
      </c>
      <c r="C1281" s="35" t="s">
        <v>6748</v>
      </c>
      <c r="D1281" s="35" t="s">
        <v>7858</v>
      </c>
      <c r="E1281" s="35" t="s">
        <v>3770</v>
      </c>
      <c r="F1281" s="36">
        <v>0</v>
      </c>
      <c r="G1281" s="35" t="s">
        <v>3771</v>
      </c>
      <c r="H1281" s="35" t="s">
        <v>3773</v>
      </c>
    </row>
    <row r="1282" spans="1:8" ht="23.1" thickBot="1" x14ac:dyDescent="0.6">
      <c r="A1282" s="44"/>
      <c r="B1282" s="37"/>
      <c r="C1282" s="35" t="s">
        <v>6749</v>
      </c>
      <c r="D1282" s="35" t="s">
        <v>7859</v>
      </c>
      <c r="E1282" s="35" t="s">
        <v>3770</v>
      </c>
      <c r="F1282" s="36">
        <v>0</v>
      </c>
      <c r="G1282" s="35" t="s">
        <v>3771</v>
      </c>
      <c r="H1282" s="35" t="s">
        <v>3773</v>
      </c>
    </row>
    <row r="1283" spans="1:8" ht="23.1" thickBot="1" x14ac:dyDescent="0.6">
      <c r="A1283" s="44"/>
      <c r="B1283" s="37"/>
      <c r="C1283" s="35" t="s">
        <v>6749</v>
      </c>
      <c r="D1283" s="35" t="s">
        <v>7860</v>
      </c>
      <c r="E1283" s="35" t="s">
        <v>3774</v>
      </c>
      <c r="F1283" s="36">
        <v>0</v>
      </c>
      <c r="G1283" s="35" t="s">
        <v>3775</v>
      </c>
      <c r="H1283" s="35" t="s">
        <v>3777</v>
      </c>
    </row>
    <row r="1284" spans="1:8" ht="23.1" thickBot="1" x14ac:dyDescent="0.6">
      <c r="A1284" s="44"/>
      <c r="B1284" s="37"/>
      <c r="C1284" s="35"/>
      <c r="D1284" s="35"/>
      <c r="E1284" s="35" t="s">
        <v>3778</v>
      </c>
      <c r="F1284" s="36">
        <v>0</v>
      </c>
      <c r="G1284" s="35" t="s">
        <v>3779</v>
      </c>
      <c r="H1284" s="35" t="s">
        <v>3781</v>
      </c>
    </row>
    <row r="1285" spans="1:8" ht="23.1" thickBot="1" x14ac:dyDescent="0.6">
      <c r="A1285" s="44" t="s">
        <v>7861</v>
      </c>
      <c r="B1285" s="37" t="s">
        <v>6435</v>
      </c>
      <c r="C1285" s="35" t="s">
        <v>6800</v>
      </c>
      <c r="D1285" s="35" t="s">
        <v>7862</v>
      </c>
      <c r="E1285" s="35" t="s">
        <v>3782</v>
      </c>
      <c r="F1285" s="36">
        <v>0</v>
      </c>
      <c r="G1285" s="35" t="s">
        <v>3783</v>
      </c>
      <c r="H1285" s="35" t="s">
        <v>3785</v>
      </c>
    </row>
    <row r="1286" spans="1:8" ht="23.1" thickBot="1" x14ac:dyDescent="0.6">
      <c r="A1286" s="44" t="s">
        <v>7863</v>
      </c>
      <c r="B1286" s="37" t="s">
        <v>6631</v>
      </c>
      <c r="C1286" s="35" t="s">
        <v>6749</v>
      </c>
      <c r="D1286" s="35" t="s">
        <v>7864</v>
      </c>
      <c r="E1286" s="35" t="s">
        <v>3786</v>
      </c>
      <c r="F1286" s="36">
        <v>0</v>
      </c>
      <c r="G1286" s="35" t="s">
        <v>3787</v>
      </c>
      <c r="H1286" s="35" t="s">
        <v>3789</v>
      </c>
    </row>
    <row r="1287" spans="1:8" ht="23.1" thickBot="1" x14ac:dyDescent="0.6">
      <c r="A1287" s="44"/>
      <c r="B1287" s="37"/>
      <c r="C1287" s="35"/>
      <c r="D1287" s="35"/>
      <c r="E1287" s="35" t="s">
        <v>3790</v>
      </c>
      <c r="F1287" s="36">
        <v>0</v>
      </c>
      <c r="G1287" s="35" t="s">
        <v>3791</v>
      </c>
      <c r="H1287" s="35" t="s">
        <v>3793</v>
      </c>
    </row>
    <row r="1288" spans="1:8" ht="23.1" thickBot="1" x14ac:dyDescent="0.6">
      <c r="A1288" s="44"/>
      <c r="B1288" s="37"/>
      <c r="C1288" s="35"/>
      <c r="D1288" s="35"/>
      <c r="E1288" s="35" t="s">
        <v>3794</v>
      </c>
      <c r="F1288" s="36">
        <v>0</v>
      </c>
      <c r="G1288" s="35" t="s">
        <v>3795</v>
      </c>
      <c r="H1288" s="35" t="s">
        <v>3797</v>
      </c>
    </row>
    <row r="1289" spans="1:8" ht="23.1" thickBot="1" x14ac:dyDescent="0.6">
      <c r="A1289" s="44"/>
      <c r="B1289" s="37"/>
      <c r="C1289" s="35"/>
      <c r="D1289" s="35"/>
      <c r="E1289" s="35" t="s">
        <v>3798</v>
      </c>
      <c r="F1289" s="36">
        <v>0</v>
      </c>
      <c r="G1289" s="35" t="s">
        <v>3799</v>
      </c>
      <c r="H1289" s="35" t="s">
        <v>3801</v>
      </c>
    </row>
    <row r="1290" spans="1:8" ht="23.1" thickBot="1" x14ac:dyDescent="0.6">
      <c r="A1290" s="44"/>
      <c r="B1290" s="37"/>
      <c r="C1290" s="35"/>
      <c r="D1290" s="35"/>
      <c r="E1290" s="35" t="s">
        <v>3802</v>
      </c>
      <c r="F1290" s="36">
        <v>0</v>
      </c>
      <c r="G1290" s="35" t="s">
        <v>3803</v>
      </c>
      <c r="H1290" s="35" t="s">
        <v>3805</v>
      </c>
    </row>
    <row r="1291" spans="1:8" ht="23.1" thickBot="1" x14ac:dyDescent="0.6">
      <c r="A1291" s="44"/>
      <c r="B1291" s="37"/>
      <c r="C1291" s="35"/>
      <c r="D1291" s="35"/>
      <c r="E1291" s="35" t="s">
        <v>3806</v>
      </c>
      <c r="F1291" s="36">
        <v>0</v>
      </c>
      <c r="G1291" s="35" t="s">
        <v>3807</v>
      </c>
      <c r="H1291" s="35" t="s">
        <v>3809</v>
      </c>
    </row>
    <row r="1292" spans="1:8" ht="23.1" thickBot="1" x14ac:dyDescent="0.6">
      <c r="A1292" s="44" t="s">
        <v>7865</v>
      </c>
      <c r="B1292" s="37" t="s">
        <v>6723</v>
      </c>
      <c r="C1292" s="35" t="s">
        <v>6748</v>
      </c>
      <c r="D1292" s="35" t="s">
        <v>7866</v>
      </c>
      <c r="E1292" s="35" t="s">
        <v>3810</v>
      </c>
      <c r="F1292" s="36">
        <v>0</v>
      </c>
      <c r="G1292" s="35" t="s">
        <v>3811</v>
      </c>
      <c r="H1292" s="35" t="s">
        <v>3813</v>
      </c>
    </row>
    <row r="1293" spans="1:8" ht="23.1" thickBot="1" x14ac:dyDescent="0.6">
      <c r="A1293" s="44"/>
      <c r="B1293" s="37"/>
      <c r="C1293" s="35" t="s">
        <v>6749</v>
      </c>
      <c r="D1293" s="35" t="s">
        <v>7867</v>
      </c>
      <c r="E1293" s="35" t="s">
        <v>3810</v>
      </c>
      <c r="F1293" s="36">
        <v>0</v>
      </c>
      <c r="G1293" s="35" t="s">
        <v>3811</v>
      </c>
      <c r="H1293" s="35" t="s">
        <v>3813</v>
      </c>
    </row>
    <row r="1294" spans="1:8" ht="23.1" thickBot="1" x14ac:dyDescent="0.6">
      <c r="A1294" s="44" t="s">
        <v>7868</v>
      </c>
      <c r="B1294" s="37" t="s">
        <v>6638</v>
      </c>
      <c r="C1294" s="35" t="s">
        <v>6749</v>
      </c>
      <c r="D1294" s="35" t="s">
        <v>7869</v>
      </c>
      <c r="E1294" s="35" t="s">
        <v>3814</v>
      </c>
      <c r="F1294" s="36">
        <v>0</v>
      </c>
      <c r="G1294" s="35" t="s">
        <v>3815</v>
      </c>
      <c r="H1294" s="35" t="s">
        <v>3817</v>
      </c>
    </row>
    <row r="1295" spans="1:8" ht="23.1" thickBot="1" x14ac:dyDescent="0.6">
      <c r="A1295" s="44" t="s">
        <v>7870</v>
      </c>
      <c r="B1295" s="37" t="s">
        <v>6692</v>
      </c>
      <c r="C1295" s="35" t="s">
        <v>6836</v>
      </c>
      <c r="D1295" s="35" t="s">
        <v>7871</v>
      </c>
      <c r="E1295" s="35" t="s">
        <v>3818</v>
      </c>
      <c r="F1295" s="36">
        <v>0</v>
      </c>
      <c r="G1295" s="35" t="s">
        <v>3819</v>
      </c>
      <c r="H1295" s="35" t="s">
        <v>3821</v>
      </c>
    </row>
    <row r="1296" spans="1:8" ht="23.1" thickBot="1" x14ac:dyDescent="0.6">
      <c r="A1296" s="44"/>
      <c r="B1296" s="37"/>
      <c r="C1296" s="35" t="s">
        <v>6749</v>
      </c>
      <c r="D1296" s="35" t="s">
        <v>7872</v>
      </c>
      <c r="E1296" s="35" t="s">
        <v>3818</v>
      </c>
      <c r="F1296" s="36">
        <v>0</v>
      </c>
      <c r="G1296" s="35" t="s">
        <v>3819</v>
      </c>
      <c r="H1296" s="35" t="s">
        <v>3821</v>
      </c>
    </row>
    <row r="1297" spans="1:8" ht="23.1" thickBot="1" x14ac:dyDescent="0.6">
      <c r="A1297" s="44"/>
      <c r="B1297" s="37"/>
      <c r="C1297" s="35"/>
      <c r="D1297" s="35"/>
      <c r="E1297" s="35" t="s">
        <v>3822</v>
      </c>
      <c r="F1297" s="36">
        <v>0</v>
      </c>
      <c r="G1297" s="35" t="s">
        <v>3823</v>
      </c>
      <c r="H1297" s="35" t="s">
        <v>3825</v>
      </c>
    </row>
    <row r="1298" spans="1:8" ht="23.1" thickBot="1" x14ac:dyDescent="0.6">
      <c r="A1298" s="44"/>
      <c r="B1298" s="37"/>
      <c r="C1298" s="35"/>
      <c r="D1298" s="35"/>
      <c r="E1298" s="35" t="s">
        <v>3826</v>
      </c>
      <c r="F1298" s="36">
        <v>0</v>
      </c>
      <c r="G1298" s="35" t="s">
        <v>3827</v>
      </c>
      <c r="H1298" s="35" t="s">
        <v>3829</v>
      </c>
    </row>
    <row r="1299" spans="1:8" ht="23.1" thickBot="1" x14ac:dyDescent="0.6">
      <c r="A1299" s="44"/>
      <c r="B1299" s="37"/>
      <c r="C1299" s="35"/>
      <c r="D1299" s="35"/>
      <c r="E1299" s="35" t="s">
        <v>3830</v>
      </c>
      <c r="F1299" s="36">
        <v>0</v>
      </c>
      <c r="G1299" s="35" t="s">
        <v>3831</v>
      </c>
      <c r="H1299" s="35" t="s">
        <v>3833</v>
      </c>
    </row>
    <row r="1300" spans="1:8" ht="23.1" thickBot="1" x14ac:dyDescent="0.6">
      <c r="A1300" s="44"/>
      <c r="B1300" s="37"/>
      <c r="C1300" s="35"/>
      <c r="D1300" s="35"/>
      <c r="E1300" s="35" t="s">
        <v>3834</v>
      </c>
      <c r="F1300" s="36">
        <v>0</v>
      </c>
      <c r="G1300" s="35" t="s">
        <v>3835</v>
      </c>
      <c r="H1300" s="35" t="s">
        <v>3837</v>
      </c>
    </row>
    <row r="1301" spans="1:8" ht="23.1" thickBot="1" x14ac:dyDescent="0.6">
      <c r="A1301" s="44"/>
      <c r="B1301" s="37"/>
      <c r="C1301" s="35"/>
      <c r="D1301" s="35"/>
      <c r="E1301" s="35" t="s">
        <v>3838</v>
      </c>
      <c r="F1301" s="36">
        <v>0</v>
      </c>
      <c r="G1301" s="35" t="s">
        <v>3839</v>
      </c>
      <c r="H1301" s="35" t="s">
        <v>3841</v>
      </c>
    </row>
    <row r="1302" spans="1:8" ht="23.1" thickBot="1" x14ac:dyDescent="0.6">
      <c r="A1302" s="44"/>
      <c r="B1302" s="37"/>
      <c r="C1302" s="35"/>
      <c r="D1302" s="35"/>
      <c r="E1302" s="35" t="s">
        <v>3842</v>
      </c>
      <c r="F1302" s="36">
        <v>0</v>
      </c>
      <c r="G1302" s="35" t="s">
        <v>3843</v>
      </c>
      <c r="H1302" s="35" t="s">
        <v>3845</v>
      </c>
    </row>
    <row r="1303" spans="1:8" ht="23.1" thickBot="1" x14ac:dyDescent="0.6">
      <c r="A1303" s="44"/>
      <c r="B1303" s="37"/>
      <c r="C1303" s="35"/>
      <c r="D1303" s="35"/>
      <c r="E1303" s="35" t="s">
        <v>3846</v>
      </c>
      <c r="F1303" s="36">
        <v>0</v>
      </c>
      <c r="G1303" s="35" t="s">
        <v>3847</v>
      </c>
      <c r="H1303" s="35" t="s">
        <v>3849</v>
      </c>
    </row>
    <row r="1304" spans="1:8" ht="23.1" thickBot="1" x14ac:dyDescent="0.6">
      <c r="A1304" s="44" t="s">
        <v>7873</v>
      </c>
      <c r="B1304" s="37" t="s">
        <v>6353</v>
      </c>
      <c r="C1304" s="35" t="s">
        <v>6748</v>
      </c>
      <c r="D1304" s="35" t="s">
        <v>7874</v>
      </c>
      <c r="E1304" s="35" t="s">
        <v>3850</v>
      </c>
      <c r="F1304" s="36">
        <v>0</v>
      </c>
      <c r="G1304" s="35" t="s">
        <v>3851</v>
      </c>
      <c r="H1304" s="35" t="s">
        <v>3853</v>
      </c>
    </row>
    <row r="1305" spans="1:8" ht="23.1" thickBot="1" x14ac:dyDescent="0.6">
      <c r="A1305" s="44"/>
      <c r="B1305" s="37"/>
      <c r="C1305" s="35" t="s">
        <v>6749</v>
      </c>
      <c r="D1305" s="35" t="s">
        <v>7875</v>
      </c>
      <c r="E1305" s="35" t="s">
        <v>3850</v>
      </c>
      <c r="F1305" s="36">
        <v>0</v>
      </c>
      <c r="G1305" s="35" t="s">
        <v>3851</v>
      </c>
      <c r="H1305" s="35" t="s">
        <v>3853</v>
      </c>
    </row>
    <row r="1306" spans="1:8" ht="23.1" thickBot="1" x14ac:dyDescent="0.6">
      <c r="A1306" s="44" t="s">
        <v>7876</v>
      </c>
      <c r="B1306" s="37" t="s">
        <v>6503</v>
      </c>
      <c r="C1306" s="35" t="s">
        <v>6748</v>
      </c>
      <c r="D1306" s="35" t="s">
        <v>7877</v>
      </c>
      <c r="E1306" s="35" t="s">
        <v>3854</v>
      </c>
      <c r="F1306" s="36">
        <v>0</v>
      </c>
      <c r="G1306" s="35" t="s">
        <v>3855</v>
      </c>
      <c r="H1306" s="35" t="s">
        <v>3857</v>
      </c>
    </row>
    <row r="1307" spans="1:8" ht="23.1" thickBot="1" x14ac:dyDescent="0.6">
      <c r="A1307" s="44"/>
      <c r="B1307" s="37"/>
      <c r="C1307" s="35" t="s">
        <v>6749</v>
      </c>
      <c r="D1307" s="35" t="s">
        <v>7878</v>
      </c>
      <c r="E1307" s="35" t="s">
        <v>3854</v>
      </c>
      <c r="F1307" s="36">
        <v>0</v>
      </c>
      <c r="G1307" s="35" t="s">
        <v>3855</v>
      </c>
      <c r="H1307" s="35" t="s">
        <v>3857</v>
      </c>
    </row>
    <row r="1308" spans="1:8" ht="23.1" thickBot="1" x14ac:dyDescent="0.6">
      <c r="A1308" s="44"/>
      <c r="B1308" s="37"/>
      <c r="C1308" s="35"/>
      <c r="D1308" s="35"/>
      <c r="E1308" s="35" t="s">
        <v>3860</v>
      </c>
      <c r="F1308" s="36">
        <v>0</v>
      </c>
      <c r="G1308" s="35" t="s">
        <v>3861</v>
      </c>
      <c r="H1308" s="35" t="s">
        <v>3859</v>
      </c>
    </row>
    <row r="1309" spans="1:8" ht="23.1" thickBot="1" x14ac:dyDescent="0.6">
      <c r="A1309" s="44"/>
      <c r="B1309" s="37"/>
      <c r="C1309" s="35"/>
      <c r="D1309" s="35"/>
      <c r="E1309" s="35" t="s">
        <v>3863</v>
      </c>
      <c r="F1309" s="36">
        <v>1</v>
      </c>
      <c r="G1309" s="35" t="s">
        <v>3864</v>
      </c>
      <c r="H1309" s="35" t="s">
        <v>3859</v>
      </c>
    </row>
    <row r="1310" spans="1:8" ht="23.1" thickBot="1" x14ac:dyDescent="0.6">
      <c r="A1310" s="44"/>
      <c r="B1310" s="37"/>
      <c r="C1310" s="35"/>
      <c r="D1310" s="35"/>
      <c r="E1310" s="35" t="s">
        <v>3865</v>
      </c>
      <c r="F1310" s="36">
        <v>2</v>
      </c>
      <c r="G1310" s="35" t="s">
        <v>3866</v>
      </c>
      <c r="H1310" s="35" t="s">
        <v>3859</v>
      </c>
    </row>
    <row r="1311" spans="1:8" ht="23.1" thickBot="1" x14ac:dyDescent="0.6">
      <c r="A1311" s="44"/>
      <c r="B1311" s="37"/>
      <c r="C1311" s="35"/>
      <c r="D1311" s="35"/>
      <c r="E1311" s="35" t="s">
        <v>3867</v>
      </c>
      <c r="F1311" s="36">
        <v>3</v>
      </c>
      <c r="G1311" s="35" t="s">
        <v>3868</v>
      </c>
      <c r="H1311" s="35" t="s">
        <v>3859</v>
      </c>
    </row>
    <row r="1312" spans="1:8" ht="23.1" thickBot="1" x14ac:dyDescent="0.6">
      <c r="A1312" s="44"/>
      <c r="B1312" s="37"/>
      <c r="C1312" s="35"/>
      <c r="D1312" s="35"/>
      <c r="E1312" s="35" t="s">
        <v>3869</v>
      </c>
      <c r="F1312" s="36">
        <v>4</v>
      </c>
      <c r="G1312" s="35" t="s">
        <v>3870</v>
      </c>
      <c r="H1312" s="35" t="s">
        <v>3859</v>
      </c>
    </row>
    <row r="1313" spans="1:8" ht="23.1" thickBot="1" x14ac:dyDescent="0.6">
      <c r="A1313" s="44"/>
      <c r="B1313" s="37"/>
      <c r="C1313" s="35"/>
      <c r="D1313" s="35"/>
      <c r="E1313" s="35" t="s">
        <v>3871</v>
      </c>
      <c r="F1313" s="36">
        <v>5</v>
      </c>
      <c r="G1313" s="35" t="s">
        <v>3872</v>
      </c>
      <c r="H1313" s="35" t="s">
        <v>3859</v>
      </c>
    </row>
    <row r="1314" spans="1:8" ht="23.1" thickBot="1" x14ac:dyDescent="0.6">
      <c r="A1314" s="44"/>
      <c r="B1314" s="37"/>
      <c r="C1314" s="35"/>
      <c r="D1314" s="35"/>
      <c r="E1314" s="35" t="s">
        <v>3873</v>
      </c>
      <c r="F1314" s="36">
        <v>6</v>
      </c>
      <c r="G1314" s="35" t="s">
        <v>3874</v>
      </c>
      <c r="H1314" s="35" t="s">
        <v>3859</v>
      </c>
    </row>
    <row r="1315" spans="1:8" ht="23.1" thickBot="1" x14ac:dyDescent="0.6">
      <c r="A1315" s="44"/>
      <c r="B1315" s="37"/>
      <c r="C1315" s="35"/>
      <c r="D1315" s="35"/>
      <c r="E1315" s="35" t="s">
        <v>3875</v>
      </c>
      <c r="F1315" s="36">
        <v>7</v>
      </c>
      <c r="G1315" s="35" t="s">
        <v>3876</v>
      </c>
      <c r="H1315" s="35" t="s">
        <v>3859</v>
      </c>
    </row>
    <row r="1316" spans="1:8" ht="23.1" thickBot="1" x14ac:dyDescent="0.6">
      <c r="A1316" s="44"/>
      <c r="B1316" s="37"/>
      <c r="C1316" s="35"/>
      <c r="D1316" s="35"/>
      <c r="E1316" s="35" t="s">
        <v>3877</v>
      </c>
      <c r="F1316" s="36">
        <v>8</v>
      </c>
      <c r="G1316" s="35" t="s">
        <v>3878</v>
      </c>
      <c r="H1316" s="35" t="s">
        <v>3859</v>
      </c>
    </row>
    <row r="1317" spans="1:8" ht="23.1" thickBot="1" x14ac:dyDescent="0.6">
      <c r="A1317" s="44"/>
      <c r="B1317" s="37"/>
      <c r="C1317" s="35"/>
      <c r="D1317" s="35"/>
      <c r="E1317" s="35" t="s">
        <v>3879</v>
      </c>
      <c r="F1317" s="36">
        <v>9</v>
      </c>
      <c r="G1317" s="35" t="s">
        <v>3880</v>
      </c>
      <c r="H1317" s="35" t="s">
        <v>3859</v>
      </c>
    </row>
    <row r="1318" spans="1:8" ht="23.1" thickBot="1" x14ac:dyDescent="0.6">
      <c r="A1318" s="44"/>
      <c r="B1318" s="37"/>
      <c r="C1318" s="35"/>
      <c r="D1318" s="35"/>
      <c r="E1318" s="35" t="s">
        <v>3881</v>
      </c>
      <c r="F1318" s="36">
        <v>10</v>
      </c>
      <c r="G1318" s="35" t="s">
        <v>3882</v>
      </c>
      <c r="H1318" s="35" t="s">
        <v>3859</v>
      </c>
    </row>
    <row r="1319" spans="1:8" ht="23.1" thickBot="1" x14ac:dyDescent="0.6">
      <c r="A1319" s="44"/>
      <c r="B1319" s="37"/>
      <c r="C1319" s="35"/>
      <c r="D1319" s="35"/>
      <c r="E1319" s="35" t="s">
        <v>3883</v>
      </c>
      <c r="F1319" s="36">
        <v>11</v>
      </c>
      <c r="G1319" s="35" t="s">
        <v>3884</v>
      </c>
      <c r="H1319" s="35" t="s">
        <v>3859</v>
      </c>
    </row>
    <row r="1320" spans="1:8" ht="23.1" thickBot="1" x14ac:dyDescent="0.6">
      <c r="A1320" s="44"/>
      <c r="B1320" s="37"/>
      <c r="C1320" s="35"/>
      <c r="D1320" s="35"/>
      <c r="E1320" s="35" t="s">
        <v>3885</v>
      </c>
      <c r="F1320" s="36">
        <v>12</v>
      </c>
      <c r="G1320" s="35" t="s">
        <v>3886</v>
      </c>
      <c r="H1320" s="35" t="s">
        <v>3859</v>
      </c>
    </row>
    <row r="1321" spans="1:8" ht="23.1" thickBot="1" x14ac:dyDescent="0.6">
      <c r="A1321" s="44"/>
      <c r="B1321" s="37"/>
      <c r="C1321" s="35"/>
      <c r="D1321" s="35"/>
      <c r="E1321" s="35" t="s">
        <v>3887</v>
      </c>
      <c r="F1321" s="36">
        <v>13</v>
      </c>
      <c r="G1321" s="35" t="s">
        <v>3888</v>
      </c>
      <c r="H1321" s="35" t="s">
        <v>3859</v>
      </c>
    </row>
    <row r="1322" spans="1:8" ht="23.1" thickBot="1" x14ac:dyDescent="0.6">
      <c r="A1322" s="44"/>
      <c r="B1322" s="37"/>
      <c r="C1322" s="35"/>
      <c r="D1322" s="35"/>
      <c r="E1322" s="35" t="s">
        <v>3889</v>
      </c>
      <c r="F1322" s="36">
        <v>14</v>
      </c>
      <c r="G1322" s="35" t="s">
        <v>3890</v>
      </c>
      <c r="H1322" s="35" t="s">
        <v>3859</v>
      </c>
    </row>
    <row r="1323" spans="1:8" ht="23.1" thickBot="1" x14ac:dyDescent="0.6">
      <c r="A1323" s="44"/>
      <c r="B1323" s="37"/>
      <c r="C1323" s="35"/>
      <c r="D1323" s="35"/>
      <c r="E1323" s="35" t="s">
        <v>3891</v>
      </c>
      <c r="F1323" s="36">
        <v>15</v>
      </c>
      <c r="G1323" s="35" t="s">
        <v>3892</v>
      </c>
      <c r="H1323" s="35" t="s">
        <v>3859</v>
      </c>
    </row>
    <row r="1324" spans="1:8" ht="23.1" thickBot="1" x14ac:dyDescent="0.6">
      <c r="A1324" s="44"/>
      <c r="B1324" s="37"/>
      <c r="C1324" s="35"/>
      <c r="D1324" s="35"/>
      <c r="E1324" s="35" t="s">
        <v>3893</v>
      </c>
      <c r="F1324" s="36">
        <v>16</v>
      </c>
      <c r="G1324" s="35" t="s">
        <v>3894</v>
      </c>
      <c r="H1324" s="35" t="s">
        <v>3859</v>
      </c>
    </row>
    <row r="1325" spans="1:8" ht="23.1" thickBot="1" x14ac:dyDescent="0.6">
      <c r="A1325" s="44"/>
      <c r="B1325" s="37"/>
      <c r="C1325" s="35"/>
      <c r="D1325" s="35"/>
      <c r="E1325" s="35" t="s">
        <v>3895</v>
      </c>
      <c r="F1325" s="36">
        <v>17</v>
      </c>
      <c r="G1325" s="35" t="s">
        <v>3896</v>
      </c>
      <c r="H1325" s="35" t="s">
        <v>3859</v>
      </c>
    </row>
    <row r="1326" spans="1:8" ht="23.1" thickBot="1" x14ac:dyDescent="0.6">
      <c r="A1326" s="44"/>
      <c r="B1326" s="37"/>
      <c r="C1326" s="35"/>
      <c r="D1326" s="35"/>
      <c r="E1326" s="35" t="s">
        <v>3897</v>
      </c>
      <c r="F1326" s="36">
        <v>18</v>
      </c>
      <c r="G1326" s="35" t="s">
        <v>3898</v>
      </c>
      <c r="H1326" s="35" t="s">
        <v>3859</v>
      </c>
    </row>
    <row r="1327" spans="1:8" ht="23.1" thickBot="1" x14ac:dyDescent="0.6">
      <c r="A1327" s="44"/>
      <c r="B1327" s="37"/>
      <c r="C1327" s="35"/>
      <c r="D1327" s="35"/>
      <c r="E1327" s="35" t="s">
        <v>3899</v>
      </c>
      <c r="F1327" s="36">
        <v>19</v>
      </c>
      <c r="G1327" s="35" t="s">
        <v>3900</v>
      </c>
      <c r="H1327" s="35" t="s">
        <v>3859</v>
      </c>
    </row>
    <row r="1328" spans="1:8" ht="23.1" thickBot="1" x14ac:dyDescent="0.6">
      <c r="A1328" s="44"/>
      <c r="B1328" s="37"/>
      <c r="C1328" s="35"/>
      <c r="D1328" s="35"/>
      <c r="E1328" s="35" t="s">
        <v>3901</v>
      </c>
      <c r="F1328" s="36">
        <v>20</v>
      </c>
      <c r="G1328" s="35" t="s">
        <v>3902</v>
      </c>
      <c r="H1328" s="35" t="s">
        <v>3859</v>
      </c>
    </row>
    <row r="1329" spans="1:8" ht="23.1" thickBot="1" x14ac:dyDescent="0.6">
      <c r="A1329" s="44"/>
      <c r="B1329" s="37"/>
      <c r="C1329" s="35"/>
      <c r="D1329" s="35"/>
      <c r="E1329" s="35" t="s">
        <v>3903</v>
      </c>
      <c r="F1329" s="36">
        <v>21</v>
      </c>
      <c r="G1329" s="35" t="s">
        <v>3904</v>
      </c>
      <c r="H1329" s="35" t="s">
        <v>3859</v>
      </c>
    </row>
    <row r="1330" spans="1:8" ht="23.1" thickBot="1" x14ac:dyDescent="0.6">
      <c r="A1330" s="44"/>
      <c r="B1330" s="37"/>
      <c r="C1330" s="35"/>
      <c r="D1330" s="35"/>
      <c r="E1330" s="35" t="s">
        <v>3906</v>
      </c>
      <c r="F1330" s="36">
        <v>0</v>
      </c>
      <c r="G1330" s="35" t="s">
        <v>3907</v>
      </c>
      <c r="H1330" s="35" t="s">
        <v>3905</v>
      </c>
    </row>
    <row r="1331" spans="1:8" ht="23.1" thickBot="1" x14ac:dyDescent="0.6">
      <c r="A1331" s="44"/>
      <c r="B1331" s="37"/>
      <c r="C1331" s="35"/>
      <c r="D1331" s="35"/>
      <c r="E1331" s="35" t="s">
        <v>3909</v>
      </c>
      <c r="F1331" s="36">
        <v>1</v>
      </c>
      <c r="G1331" s="35" t="s">
        <v>3864</v>
      </c>
      <c r="H1331" s="35" t="s">
        <v>3905</v>
      </c>
    </row>
    <row r="1332" spans="1:8" ht="23.1" thickBot="1" x14ac:dyDescent="0.6">
      <c r="A1332" s="44"/>
      <c r="B1332" s="37"/>
      <c r="C1332" s="35"/>
      <c r="D1332" s="35"/>
      <c r="E1332" s="35" t="s">
        <v>3910</v>
      </c>
      <c r="F1332" s="36">
        <v>2</v>
      </c>
      <c r="G1332" s="35" t="s">
        <v>3911</v>
      </c>
      <c r="H1332" s="35" t="s">
        <v>3905</v>
      </c>
    </row>
    <row r="1333" spans="1:8" ht="23.1" thickBot="1" x14ac:dyDescent="0.6">
      <c r="A1333" s="44"/>
      <c r="B1333" s="37"/>
      <c r="C1333" s="35"/>
      <c r="D1333" s="35"/>
      <c r="E1333" s="35" t="s">
        <v>3912</v>
      </c>
      <c r="F1333" s="36">
        <v>3</v>
      </c>
      <c r="G1333" s="35" t="s">
        <v>3913</v>
      </c>
      <c r="H1333" s="35" t="s">
        <v>3905</v>
      </c>
    </row>
    <row r="1334" spans="1:8" ht="23.1" thickBot="1" x14ac:dyDescent="0.6">
      <c r="A1334" s="44"/>
      <c r="B1334" s="37"/>
      <c r="C1334" s="35"/>
      <c r="D1334" s="35"/>
      <c r="E1334" s="35" t="s">
        <v>3914</v>
      </c>
      <c r="F1334" s="36">
        <v>4</v>
      </c>
      <c r="G1334" s="35" t="s">
        <v>3915</v>
      </c>
      <c r="H1334" s="35" t="s">
        <v>3905</v>
      </c>
    </row>
    <row r="1335" spans="1:8" ht="23.1" thickBot="1" x14ac:dyDescent="0.6">
      <c r="A1335" s="44"/>
      <c r="B1335" s="37"/>
      <c r="C1335" s="35"/>
      <c r="D1335" s="35"/>
      <c r="E1335" s="35" t="s">
        <v>3916</v>
      </c>
      <c r="F1335" s="36">
        <v>5</v>
      </c>
      <c r="G1335" s="35" t="s">
        <v>3917</v>
      </c>
      <c r="H1335" s="35" t="s">
        <v>3905</v>
      </c>
    </row>
    <row r="1336" spans="1:8" ht="23.1" thickBot="1" x14ac:dyDescent="0.6">
      <c r="A1336" s="44"/>
      <c r="B1336" s="37"/>
      <c r="C1336" s="35"/>
      <c r="D1336" s="35"/>
      <c r="E1336" s="35" t="s">
        <v>3918</v>
      </c>
      <c r="F1336" s="36">
        <v>6</v>
      </c>
      <c r="G1336" s="35" t="s">
        <v>3902</v>
      </c>
      <c r="H1336" s="35" t="s">
        <v>3905</v>
      </c>
    </row>
    <row r="1337" spans="1:8" ht="23.1" thickBot="1" x14ac:dyDescent="0.6">
      <c r="A1337" s="44"/>
      <c r="B1337" s="37"/>
      <c r="C1337" s="35"/>
      <c r="D1337" s="35"/>
      <c r="E1337" s="35" t="s">
        <v>3919</v>
      </c>
      <c r="F1337" s="36">
        <v>7</v>
      </c>
      <c r="G1337" s="35" t="s">
        <v>3920</v>
      </c>
      <c r="H1337" s="35" t="s">
        <v>3905</v>
      </c>
    </row>
    <row r="1338" spans="1:8" ht="23.1" thickBot="1" x14ac:dyDescent="0.6">
      <c r="A1338" s="44"/>
      <c r="B1338" s="37"/>
      <c r="C1338" s="35"/>
      <c r="D1338" s="35"/>
      <c r="E1338" s="35" t="s">
        <v>3921</v>
      </c>
      <c r="F1338" s="36">
        <v>8</v>
      </c>
      <c r="G1338" s="35" t="s">
        <v>3922</v>
      </c>
      <c r="H1338" s="35" t="s">
        <v>3905</v>
      </c>
    </row>
    <row r="1339" spans="1:8" ht="23.1" thickBot="1" x14ac:dyDescent="0.6">
      <c r="A1339" s="44"/>
      <c r="B1339" s="37"/>
      <c r="C1339" s="35"/>
      <c r="D1339" s="35"/>
      <c r="E1339" s="35" t="s">
        <v>3923</v>
      </c>
      <c r="F1339" s="36">
        <v>9</v>
      </c>
      <c r="G1339" s="35" t="s">
        <v>3924</v>
      </c>
      <c r="H1339" s="35" t="s">
        <v>3905</v>
      </c>
    </row>
    <row r="1340" spans="1:8" ht="23.1" thickBot="1" x14ac:dyDescent="0.6">
      <c r="A1340" s="44"/>
      <c r="B1340" s="37"/>
      <c r="C1340" s="35"/>
      <c r="D1340" s="35"/>
      <c r="E1340" s="35" t="s">
        <v>3925</v>
      </c>
      <c r="F1340" s="36">
        <v>10</v>
      </c>
      <c r="G1340" s="35" t="s">
        <v>3926</v>
      </c>
      <c r="H1340" s="35" t="s">
        <v>3905</v>
      </c>
    </row>
    <row r="1341" spans="1:8" ht="23.1" thickBot="1" x14ac:dyDescent="0.6">
      <c r="A1341" s="44"/>
      <c r="B1341" s="37"/>
      <c r="C1341" s="35"/>
      <c r="D1341" s="35"/>
      <c r="E1341" s="35" t="s">
        <v>3927</v>
      </c>
      <c r="F1341" s="36">
        <v>11</v>
      </c>
      <c r="G1341" s="35" t="s">
        <v>3928</v>
      </c>
      <c r="H1341" s="35" t="s">
        <v>3905</v>
      </c>
    </row>
    <row r="1342" spans="1:8" ht="23.1" thickBot="1" x14ac:dyDescent="0.6">
      <c r="A1342" s="44"/>
      <c r="B1342" s="37"/>
      <c r="C1342" s="35"/>
      <c r="D1342" s="35"/>
      <c r="E1342" s="35" t="s">
        <v>3930</v>
      </c>
      <c r="F1342" s="36">
        <v>1</v>
      </c>
      <c r="G1342" s="35" t="s">
        <v>3931</v>
      </c>
      <c r="H1342" s="35" t="s">
        <v>3929</v>
      </c>
    </row>
    <row r="1343" spans="1:8" ht="23.1" thickBot="1" x14ac:dyDescent="0.6">
      <c r="A1343" s="44"/>
      <c r="B1343" s="37"/>
      <c r="C1343" s="35"/>
      <c r="D1343" s="35"/>
      <c r="E1343" s="35" t="s">
        <v>3932</v>
      </c>
      <c r="F1343" s="36">
        <v>2</v>
      </c>
      <c r="G1343" s="35" t="s">
        <v>3933</v>
      </c>
      <c r="H1343" s="35" t="s">
        <v>3929</v>
      </c>
    </row>
    <row r="1344" spans="1:8" ht="23.1" thickBot="1" x14ac:dyDescent="0.6">
      <c r="A1344" s="44"/>
      <c r="B1344" s="37"/>
      <c r="C1344" s="35"/>
      <c r="D1344" s="35"/>
      <c r="E1344" s="35" t="s">
        <v>3934</v>
      </c>
      <c r="F1344" s="36">
        <v>3</v>
      </c>
      <c r="G1344" s="35" t="s">
        <v>3935</v>
      </c>
      <c r="H1344" s="35" t="s">
        <v>3929</v>
      </c>
    </row>
    <row r="1345" spans="1:8" ht="23.1" thickBot="1" x14ac:dyDescent="0.6">
      <c r="A1345" s="44"/>
      <c r="B1345" s="37"/>
      <c r="C1345" s="35"/>
      <c r="D1345" s="35"/>
      <c r="E1345" s="35" t="s">
        <v>3936</v>
      </c>
      <c r="F1345" s="36">
        <v>4</v>
      </c>
      <c r="G1345" s="35" t="s">
        <v>3937</v>
      </c>
      <c r="H1345" s="35" t="s">
        <v>3929</v>
      </c>
    </row>
    <row r="1346" spans="1:8" ht="23.1" thickBot="1" x14ac:dyDescent="0.6">
      <c r="A1346" s="44"/>
      <c r="B1346" s="37"/>
      <c r="C1346" s="35"/>
      <c r="D1346" s="35"/>
      <c r="E1346" s="35" t="s">
        <v>3939</v>
      </c>
      <c r="F1346" s="36">
        <v>0</v>
      </c>
      <c r="G1346" s="35" t="s">
        <v>3940</v>
      </c>
      <c r="H1346" s="35" t="s">
        <v>3938</v>
      </c>
    </row>
    <row r="1347" spans="1:8" ht="23.1" thickBot="1" x14ac:dyDescent="0.6">
      <c r="A1347" s="44"/>
      <c r="B1347" s="37"/>
      <c r="C1347" s="35"/>
      <c r="D1347" s="35"/>
      <c r="E1347" s="35" t="s">
        <v>3941</v>
      </c>
      <c r="F1347" s="36">
        <v>1</v>
      </c>
      <c r="G1347" s="35" t="s">
        <v>3942</v>
      </c>
      <c r="H1347" s="35" t="s">
        <v>3938</v>
      </c>
    </row>
    <row r="1348" spans="1:8" ht="23.1" thickBot="1" x14ac:dyDescent="0.6">
      <c r="A1348" s="44"/>
      <c r="B1348" s="37"/>
      <c r="C1348" s="35"/>
      <c r="D1348" s="35"/>
      <c r="E1348" s="35" t="s">
        <v>3943</v>
      </c>
      <c r="F1348" s="36">
        <v>2</v>
      </c>
      <c r="G1348" s="35" t="s">
        <v>3944</v>
      </c>
      <c r="H1348" s="35" t="s">
        <v>3938</v>
      </c>
    </row>
    <row r="1349" spans="1:8" ht="23.1" thickBot="1" x14ac:dyDescent="0.6">
      <c r="A1349" s="44"/>
      <c r="B1349" s="37"/>
      <c r="C1349" s="35"/>
      <c r="D1349" s="35"/>
      <c r="E1349" s="35" t="s">
        <v>3946</v>
      </c>
      <c r="F1349" s="36">
        <v>0</v>
      </c>
      <c r="G1349" s="35" t="s">
        <v>3947</v>
      </c>
      <c r="H1349" s="35" t="s">
        <v>3945</v>
      </c>
    </row>
    <row r="1350" spans="1:8" ht="23.1" thickBot="1" x14ac:dyDescent="0.6">
      <c r="A1350" s="44"/>
      <c r="B1350" s="37"/>
      <c r="C1350" s="35"/>
      <c r="D1350" s="35"/>
      <c r="E1350" s="35" t="s">
        <v>3949</v>
      </c>
      <c r="F1350" s="36">
        <v>1</v>
      </c>
      <c r="G1350" s="35" t="s">
        <v>3950</v>
      </c>
      <c r="H1350" s="35" t="s">
        <v>3945</v>
      </c>
    </row>
    <row r="1351" spans="1:8" ht="23.1" thickBot="1" x14ac:dyDescent="0.6">
      <c r="A1351" s="44"/>
      <c r="B1351" s="37"/>
      <c r="C1351" s="35"/>
      <c r="D1351" s="35"/>
      <c r="E1351" s="35" t="s">
        <v>3951</v>
      </c>
      <c r="F1351" s="36">
        <v>2</v>
      </c>
      <c r="G1351" s="35" t="s">
        <v>3952</v>
      </c>
      <c r="H1351" s="35" t="s">
        <v>3945</v>
      </c>
    </row>
    <row r="1352" spans="1:8" ht="23.1" thickBot="1" x14ac:dyDescent="0.6">
      <c r="A1352" s="44"/>
      <c r="B1352" s="37"/>
      <c r="C1352" s="35"/>
      <c r="D1352" s="35"/>
      <c r="E1352" s="35" t="s">
        <v>3954</v>
      </c>
      <c r="F1352" s="36">
        <v>0</v>
      </c>
      <c r="G1352" s="35" t="s">
        <v>3955</v>
      </c>
      <c r="H1352" s="35" t="s">
        <v>3953</v>
      </c>
    </row>
    <row r="1353" spans="1:8" ht="23.1" thickBot="1" x14ac:dyDescent="0.6">
      <c r="A1353" s="44"/>
      <c r="B1353" s="37"/>
      <c r="C1353" s="35"/>
      <c r="D1353" s="35"/>
      <c r="E1353" s="35" t="s">
        <v>3956</v>
      </c>
      <c r="F1353" s="36">
        <v>1</v>
      </c>
      <c r="G1353" s="35" t="s">
        <v>3957</v>
      </c>
      <c r="H1353" s="35" t="s">
        <v>3953</v>
      </c>
    </row>
    <row r="1354" spans="1:8" ht="23.1" thickBot="1" x14ac:dyDescent="0.6">
      <c r="A1354" s="44"/>
      <c r="B1354" s="37"/>
      <c r="C1354" s="35"/>
      <c r="D1354" s="35"/>
      <c r="E1354" s="35" t="s">
        <v>3958</v>
      </c>
      <c r="F1354" s="36">
        <v>2</v>
      </c>
      <c r="G1354" s="35" t="s">
        <v>3959</v>
      </c>
      <c r="H1354" s="35" t="s">
        <v>3953</v>
      </c>
    </row>
    <row r="1355" spans="1:8" ht="23.1" thickBot="1" x14ac:dyDescent="0.6">
      <c r="A1355" s="44"/>
      <c r="B1355" s="37"/>
      <c r="C1355" s="35"/>
      <c r="D1355" s="35"/>
      <c r="E1355" s="35" t="s">
        <v>3960</v>
      </c>
      <c r="F1355" s="36">
        <v>3</v>
      </c>
      <c r="G1355" s="35" t="s">
        <v>3961</v>
      </c>
      <c r="H1355" s="35" t="s">
        <v>3953</v>
      </c>
    </row>
    <row r="1356" spans="1:8" ht="23.1" thickBot="1" x14ac:dyDescent="0.6">
      <c r="A1356" s="44"/>
      <c r="B1356" s="37"/>
      <c r="C1356" s="35"/>
      <c r="D1356" s="35"/>
      <c r="E1356" s="35" t="s">
        <v>3962</v>
      </c>
      <c r="F1356" s="36">
        <v>4</v>
      </c>
      <c r="G1356" s="35" t="s">
        <v>3963</v>
      </c>
      <c r="H1356" s="35" t="s">
        <v>3953</v>
      </c>
    </row>
    <row r="1357" spans="1:8" ht="23.1" thickBot="1" x14ac:dyDescent="0.6">
      <c r="A1357" s="44"/>
      <c r="B1357" s="37"/>
      <c r="C1357" s="35"/>
      <c r="D1357" s="35"/>
      <c r="E1357" s="35" t="s">
        <v>3964</v>
      </c>
      <c r="F1357" s="36">
        <v>0</v>
      </c>
      <c r="G1357" s="35" t="s">
        <v>3965</v>
      </c>
      <c r="H1357" s="35" t="s">
        <v>3966</v>
      </c>
    </row>
    <row r="1358" spans="1:8" ht="23.1" thickBot="1" x14ac:dyDescent="0.6">
      <c r="A1358" s="44"/>
      <c r="B1358" s="37"/>
      <c r="C1358" s="35"/>
      <c r="D1358" s="35"/>
      <c r="E1358" s="35" t="s">
        <v>3967</v>
      </c>
      <c r="F1358" s="36">
        <v>0</v>
      </c>
      <c r="G1358" s="35" t="s">
        <v>3968</v>
      </c>
      <c r="H1358" s="35" t="s">
        <v>3969</v>
      </c>
    </row>
    <row r="1359" spans="1:8" ht="23.1" thickBot="1" x14ac:dyDescent="0.6">
      <c r="A1359" s="44"/>
      <c r="B1359" s="37"/>
      <c r="C1359" s="35"/>
      <c r="D1359" s="35"/>
      <c r="E1359" s="35" t="s">
        <v>3970</v>
      </c>
      <c r="F1359" s="36">
        <v>0</v>
      </c>
      <c r="G1359" s="35" t="s">
        <v>3971</v>
      </c>
      <c r="H1359" s="35" t="s">
        <v>3972</v>
      </c>
    </row>
    <row r="1360" spans="1:8" ht="23.1" thickBot="1" x14ac:dyDescent="0.6">
      <c r="A1360" s="44"/>
      <c r="B1360" s="37"/>
      <c r="C1360" s="35"/>
      <c r="D1360" s="35"/>
      <c r="E1360" s="35" t="s">
        <v>3973</v>
      </c>
      <c r="F1360" s="36">
        <v>0</v>
      </c>
      <c r="G1360" s="35" t="s">
        <v>3974</v>
      </c>
      <c r="H1360" s="35" t="s">
        <v>3975</v>
      </c>
    </row>
    <row r="1361" spans="1:8" ht="23.1" thickBot="1" x14ac:dyDescent="0.6">
      <c r="A1361" s="44"/>
      <c r="B1361" s="37"/>
      <c r="C1361" s="35"/>
      <c r="D1361" s="35"/>
      <c r="E1361" s="35" t="s">
        <v>3976</v>
      </c>
      <c r="F1361" s="36">
        <v>0</v>
      </c>
      <c r="G1361" s="35" t="s">
        <v>3977</v>
      </c>
      <c r="H1361" s="35" t="s">
        <v>3979</v>
      </c>
    </row>
    <row r="1362" spans="1:8" ht="23.1" thickBot="1" x14ac:dyDescent="0.6">
      <c r="A1362" s="44"/>
      <c r="B1362" s="37"/>
      <c r="C1362" s="35"/>
      <c r="D1362" s="35"/>
      <c r="E1362" s="35" t="s">
        <v>3980</v>
      </c>
      <c r="F1362" s="36">
        <v>0</v>
      </c>
      <c r="G1362" s="35" t="s">
        <v>3981</v>
      </c>
      <c r="H1362" s="35" t="s">
        <v>3983</v>
      </c>
    </row>
    <row r="1363" spans="1:8" ht="23.1" thickBot="1" x14ac:dyDescent="0.6">
      <c r="A1363" s="44"/>
      <c r="B1363" s="37"/>
      <c r="C1363" s="35"/>
      <c r="D1363" s="35"/>
      <c r="E1363" s="35" t="s">
        <v>3984</v>
      </c>
      <c r="F1363" s="36">
        <v>0</v>
      </c>
      <c r="G1363" s="35" t="s">
        <v>3985</v>
      </c>
      <c r="H1363" s="35" t="s">
        <v>3987</v>
      </c>
    </row>
    <row r="1364" spans="1:8" ht="23.1" thickBot="1" x14ac:dyDescent="0.6">
      <c r="A1364" s="44"/>
      <c r="B1364" s="37"/>
      <c r="C1364" s="35"/>
      <c r="D1364" s="35"/>
      <c r="E1364" s="35" t="s">
        <v>3988</v>
      </c>
      <c r="F1364" s="36">
        <v>0</v>
      </c>
      <c r="G1364" s="35" t="s">
        <v>3858</v>
      </c>
      <c r="H1364" s="35" t="s">
        <v>3990</v>
      </c>
    </row>
    <row r="1365" spans="1:8" ht="23.1" thickBot="1" x14ac:dyDescent="0.6">
      <c r="A1365" s="44"/>
      <c r="B1365" s="37"/>
      <c r="C1365" s="35"/>
      <c r="D1365" s="35"/>
      <c r="E1365" s="35" t="s">
        <v>3991</v>
      </c>
      <c r="F1365" s="36">
        <v>0</v>
      </c>
      <c r="G1365" s="35" t="s">
        <v>3992</v>
      </c>
      <c r="H1365" s="35" t="s">
        <v>3994</v>
      </c>
    </row>
    <row r="1366" spans="1:8" ht="23.1" thickBot="1" x14ac:dyDescent="0.6">
      <c r="A1366" s="44"/>
      <c r="B1366" s="37"/>
      <c r="C1366" s="35"/>
      <c r="D1366" s="35"/>
      <c r="E1366" s="35" t="s">
        <v>3995</v>
      </c>
      <c r="F1366" s="36">
        <v>0</v>
      </c>
      <c r="G1366" s="35" t="s">
        <v>3996</v>
      </c>
      <c r="H1366" s="35" t="s">
        <v>3998</v>
      </c>
    </row>
    <row r="1367" spans="1:8" ht="23.1" thickBot="1" x14ac:dyDescent="0.6">
      <c r="A1367" s="44"/>
      <c r="B1367" s="37"/>
      <c r="C1367" s="35"/>
      <c r="D1367" s="35"/>
      <c r="E1367" s="35" t="s">
        <v>3999</v>
      </c>
      <c r="F1367" s="36">
        <v>0</v>
      </c>
      <c r="G1367" s="35" t="s">
        <v>4000</v>
      </c>
      <c r="H1367" s="35" t="s">
        <v>4002</v>
      </c>
    </row>
    <row r="1368" spans="1:8" ht="23.1" thickBot="1" x14ac:dyDescent="0.6">
      <c r="A1368" s="44"/>
      <c r="B1368" s="37"/>
      <c r="C1368" s="35"/>
      <c r="D1368" s="35"/>
      <c r="E1368" s="35" t="s">
        <v>4003</v>
      </c>
      <c r="F1368" s="36">
        <v>0</v>
      </c>
      <c r="G1368" s="35" t="s">
        <v>4004</v>
      </c>
      <c r="H1368" s="35" t="s">
        <v>4006</v>
      </c>
    </row>
    <row r="1369" spans="1:8" ht="23.1" thickBot="1" x14ac:dyDescent="0.6">
      <c r="A1369" s="44"/>
      <c r="B1369" s="37"/>
      <c r="C1369" s="35"/>
      <c r="D1369" s="35"/>
      <c r="E1369" s="35" t="s">
        <v>4007</v>
      </c>
      <c r="F1369" s="36">
        <v>0</v>
      </c>
      <c r="G1369" s="35" t="s">
        <v>4008</v>
      </c>
      <c r="H1369" s="35" t="s">
        <v>4010</v>
      </c>
    </row>
    <row r="1370" spans="1:8" ht="23.1" thickBot="1" x14ac:dyDescent="0.6">
      <c r="A1370" s="44"/>
      <c r="B1370" s="37"/>
      <c r="C1370" s="35"/>
      <c r="D1370" s="35"/>
      <c r="E1370" s="35" t="s">
        <v>4011</v>
      </c>
      <c r="F1370" s="36">
        <v>0</v>
      </c>
      <c r="G1370" s="35" t="s">
        <v>4012</v>
      </c>
      <c r="H1370" s="35" t="s">
        <v>4014</v>
      </c>
    </row>
    <row r="1371" spans="1:8" ht="23.1" thickBot="1" x14ac:dyDescent="0.6">
      <c r="A1371" s="44"/>
      <c r="B1371" s="37"/>
      <c r="C1371" s="35"/>
      <c r="D1371" s="35"/>
      <c r="E1371" s="35" t="s">
        <v>4015</v>
      </c>
      <c r="F1371" s="36">
        <v>0</v>
      </c>
      <c r="G1371" s="35" t="s">
        <v>4016</v>
      </c>
      <c r="H1371" s="35" t="s">
        <v>4018</v>
      </c>
    </row>
    <row r="1372" spans="1:8" ht="23.1" thickBot="1" x14ac:dyDescent="0.6">
      <c r="A1372" s="44"/>
      <c r="B1372" s="37"/>
      <c r="C1372" s="35"/>
      <c r="D1372" s="35"/>
      <c r="E1372" s="35" t="s">
        <v>4019</v>
      </c>
      <c r="F1372" s="36">
        <v>0</v>
      </c>
      <c r="G1372" s="35" t="s">
        <v>4020</v>
      </c>
      <c r="H1372" s="35" t="s">
        <v>4022</v>
      </c>
    </row>
    <row r="1373" spans="1:8" ht="23.1" thickBot="1" x14ac:dyDescent="0.6">
      <c r="A1373" s="44"/>
      <c r="B1373" s="37"/>
      <c r="C1373" s="35"/>
      <c r="D1373" s="35"/>
      <c r="E1373" s="35" t="s">
        <v>4023</v>
      </c>
      <c r="F1373" s="36">
        <v>0</v>
      </c>
      <c r="G1373" s="35" t="s">
        <v>4024</v>
      </c>
      <c r="H1373" s="35" t="s">
        <v>4026</v>
      </c>
    </row>
    <row r="1374" spans="1:8" ht="23.1" thickBot="1" x14ac:dyDescent="0.6">
      <c r="A1374" s="44"/>
      <c r="B1374" s="37"/>
      <c r="C1374" s="35"/>
      <c r="D1374" s="35"/>
      <c r="E1374" s="35" t="s">
        <v>4027</v>
      </c>
      <c r="F1374" s="36">
        <v>0</v>
      </c>
      <c r="G1374" s="35" t="s">
        <v>4028</v>
      </c>
      <c r="H1374" s="35" t="s">
        <v>4030</v>
      </c>
    </row>
    <row r="1375" spans="1:8" ht="23.1" thickBot="1" x14ac:dyDescent="0.6">
      <c r="A1375" s="44"/>
      <c r="B1375" s="37"/>
      <c r="C1375" s="35"/>
      <c r="D1375" s="35"/>
      <c r="E1375" s="35" t="s">
        <v>4031</v>
      </c>
      <c r="F1375" s="36">
        <v>0</v>
      </c>
      <c r="G1375" s="35" t="s">
        <v>4032</v>
      </c>
      <c r="H1375" s="35" t="s">
        <v>4034</v>
      </c>
    </row>
    <row r="1376" spans="1:8" ht="23.1" thickBot="1" x14ac:dyDescent="0.6">
      <c r="A1376" s="44"/>
      <c r="B1376" s="37"/>
      <c r="C1376" s="35"/>
      <c r="D1376" s="35"/>
      <c r="E1376" s="35" t="s">
        <v>4035</v>
      </c>
      <c r="F1376" s="36">
        <v>0</v>
      </c>
      <c r="G1376" s="35" t="s">
        <v>4036</v>
      </c>
      <c r="H1376" s="35" t="s">
        <v>4038</v>
      </c>
    </row>
    <row r="1377" spans="1:8" ht="23.1" thickBot="1" x14ac:dyDescent="0.6">
      <c r="A1377" s="44"/>
      <c r="B1377" s="37"/>
      <c r="C1377" s="35"/>
      <c r="D1377" s="35"/>
      <c r="E1377" s="35" t="s">
        <v>4039</v>
      </c>
      <c r="F1377" s="36">
        <v>0</v>
      </c>
      <c r="G1377" s="35" t="s">
        <v>4040</v>
      </c>
      <c r="H1377" s="35" t="s">
        <v>4042</v>
      </c>
    </row>
    <row r="1378" spans="1:8" ht="23.1" thickBot="1" x14ac:dyDescent="0.6">
      <c r="A1378" s="44"/>
      <c r="B1378" s="37"/>
      <c r="C1378" s="35"/>
      <c r="D1378" s="35"/>
      <c r="E1378" s="35" t="s">
        <v>4043</v>
      </c>
      <c r="F1378" s="36">
        <v>0</v>
      </c>
      <c r="G1378" s="35" t="s">
        <v>4044</v>
      </c>
      <c r="H1378" s="35" t="s">
        <v>4046</v>
      </c>
    </row>
    <row r="1379" spans="1:8" ht="23.1" thickBot="1" x14ac:dyDescent="0.6">
      <c r="A1379" s="44"/>
      <c r="B1379" s="37"/>
      <c r="C1379" s="35"/>
      <c r="D1379" s="35"/>
      <c r="E1379" s="35" t="s">
        <v>4047</v>
      </c>
      <c r="F1379" s="36">
        <v>0</v>
      </c>
      <c r="G1379" s="35" t="s">
        <v>4048</v>
      </c>
      <c r="H1379" s="35" t="s">
        <v>4050</v>
      </c>
    </row>
    <row r="1380" spans="1:8" ht="23.1" thickBot="1" x14ac:dyDescent="0.6">
      <c r="A1380" s="44"/>
      <c r="B1380" s="37"/>
      <c r="C1380" s="35"/>
      <c r="D1380" s="35"/>
      <c r="E1380" s="35" t="s">
        <v>4051</v>
      </c>
      <c r="F1380" s="36">
        <v>0</v>
      </c>
      <c r="G1380" s="35" t="s">
        <v>4052</v>
      </c>
      <c r="H1380" s="35" t="s">
        <v>4054</v>
      </c>
    </row>
    <row r="1381" spans="1:8" ht="23.1" thickBot="1" x14ac:dyDescent="0.6">
      <c r="A1381" s="44"/>
      <c r="B1381" s="37"/>
      <c r="C1381" s="35"/>
      <c r="D1381" s="35"/>
      <c r="E1381" s="35" t="s">
        <v>4055</v>
      </c>
      <c r="F1381" s="36">
        <v>0</v>
      </c>
      <c r="G1381" s="35" t="s">
        <v>4056</v>
      </c>
      <c r="H1381" s="35" t="s">
        <v>4058</v>
      </c>
    </row>
    <row r="1382" spans="1:8" ht="23.1" thickBot="1" x14ac:dyDescent="0.6">
      <c r="A1382" s="44"/>
      <c r="B1382" s="37"/>
      <c r="C1382" s="35"/>
      <c r="D1382" s="35"/>
      <c r="E1382" s="35" t="s">
        <v>4059</v>
      </c>
      <c r="F1382" s="36">
        <v>0</v>
      </c>
      <c r="G1382" s="35" t="s">
        <v>4060</v>
      </c>
      <c r="H1382" s="35" t="s">
        <v>4062</v>
      </c>
    </row>
    <row r="1383" spans="1:8" ht="23.1" thickBot="1" x14ac:dyDescent="0.6">
      <c r="A1383" s="44"/>
      <c r="B1383" s="37"/>
      <c r="C1383" s="35"/>
      <c r="D1383" s="35"/>
      <c r="E1383" s="35" t="s">
        <v>4063</v>
      </c>
      <c r="F1383" s="36">
        <v>0</v>
      </c>
      <c r="G1383" s="35" t="s">
        <v>4064</v>
      </c>
      <c r="H1383" s="35" t="s">
        <v>4066</v>
      </c>
    </row>
    <row r="1384" spans="1:8" ht="23.1" thickBot="1" x14ac:dyDescent="0.6">
      <c r="A1384" s="44"/>
      <c r="B1384" s="37"/>
      <c r="C1384" s="35"/>
      <c r="D1384" s="35"/>
      <c r="E1384" s="35" t="s">
        <v>4067</v>
      </c>
      <c r="F1384" s="36">
        <v>0</v>
      </c>
      <c r="G1384" s="35" t="s">
        <v>4068</v>
      </c>
      <c r="H1384" s="35" t="s">
        <v>4070</v>
      </c>
    </row>
    <row r="1385" spans="1:8" ht="23.1" thickBot="1" x14ac:dyDescent="0.6">
      <c r="A1385" s="44"/>
      <c r="B1385" s="37"/>
      <c r="C1385" s="35"/>
      <c r="D1385" s="35"/>
      <c r="E1385" s="35" t="s">
        <v>4071</v>
      </c>
      <c r="F1385" s="36">
        <v>0</v>
      </c>
      <c r="G1385" s="35" t="s">
        <v>4072</v>
      </c>
      <c r="H1385" s="35" t="s">
        <v>4074</v>
      </c>
    </row>
    <row r="1386" spans="1:8" ht="23.1" thickBot="1" x14ac:dyDescent="0.6">
      <c r="A1386" s="44"/>
      <c r="B1386" s="37"/>
      <c r="C1386" s="35"/>
      <c r="D1386" s="35"/>
      <c r="E1386" s="35" t="s">
        <v>4075</v>
      </c>
      <c r="F1386" s="36">
        <v>0</v>
      </c>
      <c r="G1386" s="35" t="s">
        <v>4076</v>
      </c>
      <c r="H1386" s="35" t="s">
        <v>4078</v>
      </c>
    </row>
    <row r="1387" spans="1:8" ht="23.1" thickBot="1" x14ac:dyDescent="0.6">
      <c r="A1387" s="44"/>
      <c r="B1387" s="37"/>
      <c r="C1387" s="35"/>
      <c r="D1387" s="35"/>
      <c r="E1387" s="35" t="s">
        <v>4079</v>
      </c>
      <c r="F1387" s="36">
        <v>0</v>
      </c>
      <c r="G1387" s="35" t="s">
        <v>4080</v>
      </c>
      <c r="H1387" s="35" t="s">
        <v>4082</v>
      </c>
    </row>
    <row r="1388" spans="1:8" ht="23.1" thickBot="1" x14ac:dyDescent="0.6">
      <c r="A1388" s="44"/>
      <c r="B1388" s="37"/>
      <c r="C1388" s="35"/>
      <c r="D1388" s="35"/>
      <c r="E1388" s="35" t="s">
        <v>4083</v>
      </c>
      <c r="F1388" s="36">
        <v>0</v>
      </c>
      <c r="G1388" s="35" t="s">
        <v>4084</v>
      </c>
      <c r="H1388" s="35" t="s">
        <v>4086</v>
      </c>
    </row>
    <row r="1389" spans="1:8" ht="23.1" thickBot="1" x14ac:dyDescent="0.6">
      <c r="A1389" s="44"/>
      <c r="B1389" s="37"/>
      <c r="C1389" s="35"/>
      <c r="D1389" s="35"/>
      <c r="E1389" s="35" t="s">
        <v>4087</v>
      </c>
      <c r="F1389" s="36">
        <v>0</v>
      </c>
      <c r="G1389" s="35" t="s">
        <v>4088</v>
      </c>
      <c r="H1389" s="35" t="s">
        <v>4090</v>
      </c>
    </row>
    <row r="1390" spans="1:8" ht="23.1" thickBot="1" x14ac:dyDescent="0.6">
      <c r="A1390" s="44"/>
      <c r="B1390" s="37"/>
      <c r="C1390" s="35"/>
      <c r="D1390" s="35"/>
      <c r="E1390" s="35" t="s">
        <v>4091</v>
      </c>
      <c r="F1390" s="36">
        <v>0</v>
      </c>
      <c r="G1390" s="35" t="s">
        <v>4092</v>
      </c>
      <c r="H1390" s="35" t="s">
        <v>4094</v>
      </c>
    </row>
    <row r="1391" spans="1:8" ht="23.1" thickBot="1" x14ac:dyDescent="0.6">
      <c r="A1391" s="44"/>
      <c r="B1391" s="37"/>
      <c r="C1391" s="35"/>
      <c r="D1391" s="35"/>
      <c r="E1391" s="35" t="s">
        <v>4095</v>
      </c>
      <c r="F1391" s="36">
        <v>0</v>
      </c>
      <c r="G1391" s="35" t="s">
        <v>4096</v>
      </c>
      <c r="H1391" s="35" t="s">
        <v>4098</v>
      </c>
    </row>
    <row r="1392" spans="1:8" ht="23.1" thickBot="1" x14ac:dyDescent="0.6">
      <c r="A1392" s="44"/>
      <c r="B1392" s="37"/>
      <c r="C1392" s="35"/>
      <c r="D1392" s="35"/>
      <c r="E1392" s="35" t="s">
        <v>4099</v>
      </c>
      <c r="F1392" s="36">
        <v>0</v>
      </c>
      <c r="G1392" s="35" t="s">
        <v>4100</v>
      </c>
      <c r="H1392" s="35" t="s">
        <v>4102</v>
      </c>
    </row>
    <row r="1393" spans="1:8" ht="23.1" thickBot="1" x14ac:dyDescent="0.6">
      <c r="A1393" s="44"/>
      <c r="B1393" s="37"/>
      <c r="C1393" s="35"/>
      <c r="D1393" s="35"/>
      <c r="E1393" s="35" t="s">
        <v>4103</v>
      </c>
      <c r="F1393" s="36">
        <v>0</v>
      </c>
      <c r="G1393" s="35" t="s">
        <v>1274</v>
      </c>
      <c r="H1393" s="35" t="s">
        <v>4105</v>
      </c>
    </row>
    <row r="1394" spans="1:8" ht="23.1" thickBot="1" x14ac:dyDescent="0.6">
      <c r="A1394" s="44"/>
      <c r="B1394" s="37"/>
      <c r="C1394" s="35"/>
      <c r="D1394" s="35"/>
      <c r="E1394" s="35" t="s">
        <v>4106</v>
      </c>
      <c r="F1394" s="36">
        <v>0</v>
      </c>
      <c r="G1394" s="35" t="s">
        <v>4107</v>
      </c>
      <c r="H1394" s="35" t="s">
        <v>4109</v>
      </c>
    </row>
    <row r="1395" spans="1:8" ht="23.1" thickBot="1" x14ac:dyDescent="0.6">
      <c r="A1395" s="44"/>
      <c r="B1395" s="37"/>
      <c r="C1395" s="35"/>
      <c r="D1395" s="35"/>
      <c r="E1395" s="35" t="s">
        <v>4110</v>
      </c>
      <c r="F1395" s="36">
        <v>0</v>
      </c>
      <c r="G1395" s="35" t="s">
        <v>4111</v>
      </c>
      <c r="H1395" s="35" t="s">
        <v>4113</v>
      </c>
    </row>
    <row r="1396" spans="1:8" ht="23.1" thickBot="1" x14ac:dyDescent="0.6">
      <c r="A1396" s="44"/>
      <c r="B1396" s="37"/>
      <c r="C1396" s="35"/>
      <c r="D1396" s="35"/>
      <c r="E1396" s="35" t="s">
        <v>4114</v>
      </c>
      <c r="F1396" s="36">
        <v>0</v>
      </c>
      <c r="G1396" s="35" t="s">
        <v>4115</v>
      </c>
      <c r="H1396" s="35" t="s">
        <v>4117</v>
      </c>
    </row>
    <row r="1397" spans="1:8" ht="23.1" thickBot="1" x14ac:dyDescent="0.6">
      <c r="A1397" s="44" t="s">
        <v>7879</v>
      </c>
      <c r="B1397" s="37" t="s">
        <v>6534</v>
      </c>
      <c r="C1397" s="35" t="s">
        <v>6815</v>
      </c>
      <c r="D1397" s="35" t="s">
        <v>7880</v>
      </c>
      <c r="E1397" s="35" t="s">
        <v>4118</v>
      </c>
      <c r="F1397" s="36">
        <v>0</v>
      </c>
      <c r="G1397" s="35" t="s">
        <v>4119</v>
      </c>
      <c r="H1397" s="35" t="s">
        <v>4121</v>
      </c>
    </row>
    <row r="1398" spans="1:8" ht="14.7" thickBot="1" x14ac:dyDescent="0.6">
      <c r="A1398" s="44"/>
      <c r="B1398" s="37"/>
      <c r="C1398" s="35"/>
      <c r="D1398" s="35"/>
      <c r="E1398" s="35" t="s">
        <v>4122</v>
      </c>
      <c r="F1398" s="36">
        <v>0</v>
      </c>
      <c r="G1398" s="35" t="s">
        <v>4123</v>
      </c>
      <c r="H1398" s="35" t="s">
        <v>4125</v>
      </c>
    </row>
    <row r="1399" spans="1:8" ht="23.1" thickBot="1" x14ac:dyDescent="0.6">
      <c r="A1399" s="44"/>
      <c r="B1399" s="37"/>
      <c r="C1399" s="35"/>
      <c r="D1399" s="35"/>
      <c r="E1399" s="35" t="s">
        <v>4126</v>
      </c>
      <c r="F1399" s="36">
        <v>0</v>
      </c>
      <c r="G1399" s="35" t="s">
        <v>4127</v>
      </c>
      <c r="H1399" s="35" t="s">
        <v>4129</v>
      </c>
    </row>
    <row r="1400" spans="1:8" ht="23.1" thickBot="1" x14ac:dyDescent="0.6">
      <c r="A1400" s="44"/>
      <c r="B1400" s="37"/>
      <c r="C1400" s="35"/>
      <c r="D1400" s="35"/>
      <c r="E1400" s="35" t="s">
        <v>4130</v>
      </c>
      <c r="F1400" s="36">
        <v>0</v>
      </c>
      <c r="G1400" s="35" t="s">
        <v>4131</v>
      </c>
      <c r="H1400" s="35" t="s">
        <v>4133</v>
      </c>
    </row>
    <row r="1401" spans="1:8" ht="23.1" thickBot="1" x14ac:dyDescent="0.6">
      <c r="A1401" s="44"/>
      <c r="B1401" s="37"/>
      <c r="C1401" s="35"/>
      <c r="D1401" s="35"/>
      <c r="E1401" s="35" t="s">
        <v>4134</v>
      </c>
      <c r="F1401" s="36">
        <v>0</v>
      </c>
      <c r="G1401" s="35" t="s">
        <v>4135</v>
      </c>
      <c r="H1401" s="35" t="s">
        <v>4137</v>
      </c>
    </row>
    <row r="1402" spans="1:8" ht="23.1" thickBot="1" x14ac:dyDescent="0.6">
      <c r="A1402" s="44"/>
      <c r="B1402" s="37"/>
      <c r="C1402" s="35"/>
      <c r="D1402" s="35"/>
      <c r="E1402" s="35" t="s">
        <v>4138</v>
      </c>
      <c r="F1402" s="36">
        <v>0</v>
      </c>
      <c r="G1402" s="35" t="s">
        <v>4139</v>
      </c>
      <c r="H1402" s="35" t="s">
        <v>4141</v>
      </c>
    </row>
    <row r="1403" spans="1:8" ht="23.1" thickBot="1" x14ac:dyDescent="0.6">
      <c r="A1403" s="44"/>
      <c r="B1403" s="37"/>
      <c r="C1403" s="35"/>
      <c r="D1403" s="35"/>
      <c r="E1403" s="35" t="s">
        <v>4142</v>
      </c>
      <c r="F1403" s="36">
        <v>0</v>
      </c>
      <c r="G1403" s="35" t="s">
        <v>4143</v>
      </c>
      <c r="H1403" s="35" t="s">
        <v>4145</v>
      </c>
    </row>
    <row r="1404" spans="1:8" ht="23.1" thickBot="1" x14ac:dyDescent="0.6">
      <c r="A1404" s="44"/>
      <c r="B1404" s="37"/>
      <c r="C1404" s="35"/>
      <c r="D1404" s="35"/>
      <c r="E1404" s="35" t="s">
        <v>4146</v>
      </c>
      <c r="F1404" s="36">
        <v>0</v>
      </c>
      <c r="G1404" s="35" t="s">
        <v>4147</v>
      </c>
      <c r="H1404" s="35" t="s">
        <v>4149</v>
      </c>
    </row>
    <row r="1405" spans="1:8" ht="23.1" thickBot="1" x14ac:dyDescent="0.6">
      <c r="A1405" s="44"/>
      <c r="B1405" s="37"/>
      <c r="C1405" s="35"/>
      <c r="D1405" s="35"/>
      <c r="E1405" s="35" t="s">
        <v>4150</v>
      </c>
      <c r="F1405" s="36">
        <v>0</v>
      </c>
      <c r="G1405" s="35" t="s">
        <v>4151</v>
      </c>
      <c r="H1405" s="35" t="s">
        <v>4153</v>
      </c>
    </row>
    <row r="1406" spans="1:8" ht="23.1" thickBot="1" x14ac:dyDescent="0.6">
      <c r="A1406" s="44"/>
      <c r="B1406" s="37"/>
      <c r="C1406" s="35"/>
      <c r="D1406" s="35"/>
      <c r="E1406" s="35" t="s">
        <v>4154</v>
      </c>
      <c r="F1406" s="36">
        <v>0</v>
      </c>
      <c r="G1406" s="35" t="s">
        <v>4155</v>
      </c>
      <c r="H1406" s="35" t="s">
        <v>4157</v>
      </c>
    </row>
    <row r="1407" spans="1:8" ht="23.1" thickBot="1" x14ac:dyDescent="0.6">
      <c r="A1407" s="44"/>
      <c r="B1407" s="37"/>
      <c r="C1407" s="35"/>
      <c r="D1407" s="35"/>
      <c r="E1407" s="35" t="s">
        <v>4158</v>
      </c>
      <c r="F1407" s="36">
        <v>0</v>
      </c>
      <c r="G1407" s="35" t="s">
        <v>1027</v>
      </c>
      <c r="H1407" s="35" t="s">
        <v>4160</v>
      </c>
    </row>
    <row r="1408" spans="1:8" ht="23.1" thickBot="1" x14ac:dyDescent="0.6">
      <c r="A1408" s="44"/>
      <c r="B1408" s="37"/>
      <c r="C1408" s="35"/>
      <c r="D1408" s="35"/>
      <c r="E1408" s="35" t="s">
        <v>4161</v>
      </c>
      <c r="F1408" s="36">
        <v>0</v>
      </c>
      <c r="G1408" s="35" t="s">
        <v>4162</v>
      </c>
      <c r="H1408" s="35" t="s">
        <v>4164</v>
      </c>
    </row>
    <row r="1409" spans="1:8" ht="23.1" thickBot="1" x14ac:dyDescent="0.6">
      <c r="A1409" s="44"/>
      <c r="B1409" s="37"/>
      <c r="C1409" s="35"/>
      <c r="D1409" s="35"/>
      <c r="E1409" s="35" t="s">
        <v>4165</v>
      </c>
      <c r="F1409" s="36">
        <v>0</v>
      </c>
      <c r="G1409" s="35" t="s">
        <v>4166</v>
      </c>
      <c r="H1409" s="35" t="s">
        <v>4168</v>
      </c>
    </row>
    <row r="1410" spans="1:8" ht="23.1" thickBot="1" x14ac:dyDescent="0.6">
      <c r="A1410" s="44"/>
      <c r="B1410" s="37"/>
      <c r="C1410" s="35"/>
      <c r="D1410" s="35"/>
      <c r="E1410" s="35" t="s">
        <v>4169</v>
      </c>
      <c r="F1410" s="36">
        <v>0</v>
      </c>
      <c r="G1410" s="35" t="s">
        <v>4170</v>
      </c>
      <c r="H1410" s="35" t="s">
        <v>4172</v>
      </c>
    </row>
    <row r="1411" spans="1:8" ht="23.1" thickBot="1" x14ac:dyDescent="0.6">
      <c r="A1411" s="44"/>
      <c r="B1411" s="37"/>
      <c r="C1411" s="35"/>
      <c r="D1411" s="35"/>
      <c r="E1411" s="35" t="s">
        <v>4173</v>
      </c>
      <c r="F1411" s="36">
        <v>0</v>
      </c>
      <c r="G1411" s="35" t="s">
        <v>4174</v>
      </c>
      <c r="H1411" s="35" t="s">
        <v>4176</v>
      </c>
    </row>
    <row r="1412" spans="1:8" ht="23.1" thickBot="1" x14ac:dyDescent="0.6">
      <c r="A1412" s="44"/>
      <c r="B1412" s="37"/>
      <c r="C1412" s="35"/>
      <c r="D1412" s="35"/>
      <c r="E1412" s="35" t="s">
        <v>4177</v>
      </c>
      <c r="F1412" s="36">
        <v>0</v>
      </c>
      <c r="G1412" s="35" t="s">
        <v>4178</v>
      </c>
      <c r="H1412" s="35" t="s">
        <v>4180</v>
      </c>
    </row>
    <row r="1413" spans="1:8" ht="23.1" thickBot="1" x14ac:dyDescent="0.6">
      <c r="A1413" s="44"/>
      <c r="B1413" s="37"/>
      <c r="C1413" s="35"/>
      <c r="D1413" s="35"/>
      <c r="E1413" s="35" t="s">
        <v>4181</v>
      </c>
      <c r="F1413" s="36">
        <v>0</v>
      </c>
      <c r="G1413" s="35" t="s">
        <v>4182</v>
      </c>
      <c r="H1413" s="35" t="s">
        <v>4184</v>
      </c>
    </row>
    <row r="1414" spans="1:8" ht="23.1" thickBot="1" x14ac:dyDescent="0.6">
      <c r="A1414" s="44"/>
      <c r="B1414" s="37"/>
      <c r="C1414" s="35"/>
      <c r="D1414" s="35"/>
      <c r="E1414" s="35" t="s">
        <v>4185</v>
      </c>
      <c r="F1414" s="36">
        <v>0</v>
      </c>
      <c r="G1414" s="35" t="s">
        <v>4186</v>
      </c>
      <c r="H1414" s="35" t="s">
        <v>4188</v>
      </c>
    </row>
    <row r="1415" spans="1:8" ht="23.1" thickBot="1" x14ac:dyDescent="0.6">
      <c r="A1415" s="44"/>
      <c r="B1415" s="37"/>
      <c r="C1415" s="35"/>
      <c r="D1415" s="35"/>
      <c r="E1415" s="35" t="s">
        <v>4189</v>
      </c>
      <c r="F1415" s="36">
        <v>0</v>
      </c>
      <c r="G1415" s="35" t="s">
        <v>4190</v>
      </c>
      <c r="H1415" s="35" t="s">
        <v>4192</v>
      </c>
    </row>
    <row r="1416" spans="1:8" ht="23.1" thickBot="1" x14ac:dyDescent="0.6">
      <c r="A1416" s="44"/>
      <c r="B1416" s="37"/>
      <c r="C1416" s="35"/>
      <c r="D1416" s="35"/>
      <c r="E1416" s="35" t="s">
        <v>4193</v>
      </c>
      <c r="F1416" s="36">
        <v>0</v>
      </c>
      <c r="G1416" s="35" t="s">
        <v>4194</v>
      </c>
      <c r="H1416" s="35" t="s">
        <v>4196</v>
      </c>
    </row>
    <row r="1417" spans="1:8" ht="14.7" thickBot="1" x14ac:dyDescent="0.6">
      <c r="A1417" s="44"/>
      <c r="B1417" s="37"/>
      <c r="C1417" s="35"/>
      <c r="D1417" s="35"/>
      <c r="E1417" s="35" t="s">
        <v>4197</v>
      </c>
      <c r="F1417" s="36">
        <v>0</v>
      </c>
      <c r="G1417" s="35" t="s">
        <v>4198</v>
      </c>
      <c r="H1417" s="35" t="s">
        <v>4200</v>
      </c>
    </row>
    <row r="1418" spans="1:8" ht="23.1" thickBot="1" x14ac:dyDescent="0.6">
      <c r="A1418" s="44"/>
      <c r="B1418" s="37"/>
      <c r="C1418" s="35"/>
      <c r="D1418" s="35"/>
      <c r="E1418" s="35" t="s">
        <v>4201</v>
      </c>
      <c r="F1418" s="36">
        <v>0</v>
      </c>
      <c r="G1418" s="35" t="s">
        <v>4202</v>
      </c>
      <c r="H1418" s="35" t="s">
        <v>4204</v>
      </c>
    </row>
    <row r="1419" spans="1:8" ht="23.1" thickBot="1" x14ac:dyDescent="0.6">
      <c r="A1419" s="44"/>
      <c r="B1419" s="37"/>
      <c r="C1419" s="35"/>
      <c r="D1419" s="35"/>
      <c r="E1419" s="35" t="s">
        <v>4205</v>
      </c>
      <c r="F1419" s="36">
        <v>0</v>
      </c>
      <c r="G1419" s="35" t="s">
        <v>4206</v>
      </c>
      <c r="H1419" s="35" t="s">
        <v>4208</v>
      </c>
    </row>
    <row r="1420" spans="1:8" ht="23.1" thickBot="1" x14ac:dyDescent="0.6">
      <c r="A1420" s="44"/>
      <c r="B1420" s="37"/>
      <c r="C1420" s="35"/>
      <c r="D1420" s="35"/>
      <c r="E1420" s="35" t="s">
        <v>4209</v>
      </c>
      <c r="F1420" s="36">
        <v>0</v>
      </c>
      <c r="G1420" s="35" t="s">
        <v>4210</v>
      </c>
      <c r="H1420" s="35" t="s">
        <v>4212</v>
      </c>
    </row>
    <row r="1421" spans="1:8" ht="23.1" thickBot="1" x14ac:dyDescent="0.6">
      <c r="A1421" s="44"/>
      <c r="B1421" s="37"/>
      <c r="C1421" s="35"/>
      <c r="D1421" s="35"/>
      <c r="E1421" s="35" t="s">
        <v>4213</v>
      </c>
      <c r="F1421" s="36">
        <v>0</v>
      </c>
      <c r="G1421" s="35" t="s">
        <v>4214</v>
      </c>
      <c r="H1421" s="35" t="s">
        <v>4216</v>
      </c>
    </row>
    <row r="1422" spans="1:8" ht="23.1" thickBot="1" x14ac:dyDescent="0.6">
      <c r="A1422" s="44"/>
      <c r="B1422" s="37"/>
      <c r="C1422" s="35"/>
      <c r="D1422" s="35"/>
      <c r="E1422" s="35" t="s">
        <v>4217</v>
      </c>
      <c r="F1422" s="36">
        <v>0</v>
      </c>
      <c r="G1422" s="35" t="s">
        <v>4218</v>
      </c>
      <c r="H1422" s="35" t="s">
        <v>4220</v>
      </c>
    </row>
    <row r="1423" spans="1:8" ht="23.1" thickBot="1" x14ac:dyDescent="0.6">
      <c r="A1423" s="44"/>
      <c r="B1423" s="37"/>
      <c r="C1423" s="35"/>
      <c r="D1423" s="35"/>
      <c r="E1423" s="35" t="s">
        <v>4221</v>
      </c>
      <c r="F1423" s="36">
        <v>0</v>
      </c>
      <c r="G1423" s="35" t="s">
        <v>4222</v>
      </c>
      <c r="H1423" s="35" t="s">
        <v>4224</v>
      </c>
    </row>
    <row r="1424" spans="1:8" ht="23.1" thickBot="1" x14ac:dyDescent="0.6">
      <c r="A1424" s="44"/>
      <c r="B1424" s="37"/>
      <c r="C1424" s="35"/>
      <c r="D1424" s="35"/>
      <c r="E1424" s="35" t="s">
        <v>4225</v>
      </c>
      <c r="F1424" s="36">
        <v>0</v>
      </c>
      <c r="G1424" s="35" t="s">
        <v>4226</v>
      </c>
      <c r="H1424" s="35" t="s">
        <v>4228</v>
      </c>
    </row>
    <row r="1425" spans="1:8" ht="23.1" thickBot="1" x14ac:dyDescent="0.6">
      <c r="A1425" s="44"/>
      <c r="B1425" s="37"/>
      <c r="C1425" s="35"/>
      <c r="D1425" s="35"/>
      <c r="E1425" s="35" t="s">
        <v>4229</v>
      </c>
      <c r="F1425" s="36">
        <v>0</v>
      </c>
      <c r="G1425" s="35" t="s">
        <v>4230</v>
      </c>
      <c r="H1425" s="35" t="s">
        <v>4232</v>
      </c>
    </row>
    <row r="1426" spans="1:8" ht="23.1" thickBot="1" x14ac:dyDescent="0.6">
      <c r="A1426" s="44"/>
      <c r="B1426" s="37"/>
      <c r="C1426" s="35" t="s">
        <v>6778</v>
      </c>
      <c r="D1426" s="35" t="s">
        <v>7881</v>
      </c>
      <c r="E1426" s="35" t="s">
        <v>4233</v>
      </c>
      <c r="F1426" s="36">
        <v>0</v>
      </c>
      <c r="G1426" s="35" t="s">
        <v>4234</v>
      </c>
      <c r="H1426" s="35" t="s">
        <v>4236</v>
      </c>
    </row>
    <row r="1427" spans="1:8" ht="23.1" thickBot="1" x14ac:dyDescent="0.6">
      <c r="A1427" s="44"/>
      <c r="B1427" s="37"/>
      <c r="C1427" s="35"/>
      <c r="D1427" s="35"/>
      <c r="E1427" s="35" t="s">
        <v>4237</v>
      </c>
      <c r="F1427" s="36">
        <v>0</v>
      </c>
      <c r="G1427" s="35" t="s">
        <v>4238</v>
      </c>
      <c r="H1427" s="35" t="s">
        <v>4240</v>
      </c>
    </row>
    <row r="1428" spans="1:8" ht="14.7" thickBot="1" x14ac:dyDescent="0.6">
      <c r="A1428" s="44"/>
      <c r="B1428" s="37"/>
      <c r="C1428" s="35"/>
      <c r="D1428" s="35"/>
      <c r="E1428" s="35" t="s">
        <v>4241</v>
      </c>
      <c r="F1428" s="36">
        <v>0</v>
      </c>
      <c r="G1428" s="35" t="s">
        <v>4242</v>
      </c>
      <c r="H1428" s="35" t="s">
        <v>4244</v>
      </c>
    </row>
    <row r="1429" spans="1:8" ht="23.1" thickBot="1" x14ac:dyDescent="0.6">
      <c r="A1429" s="44"/>
      <c r="B1429" s="37"/>
      <c r="C1429" s="35"/>
      <c r="D1429" s="35"/>
      <c r="E1429" s="35" t="s">
        <v>4245</v>
      </c>
      <c r="F1429" s="36">
        <v>0</v>
      </c>
      <c r="G1429" s="35" t="s">
        <v>4246</v>
      </c>
      <c r="H1429" s="35" t="s">
        <v>4248</v>
      </c>
    </row>
    <row r="1430" spans="1:8" ht="23.1" thickBot="1" x14ac:dyDescent="0.6">
      <c r="A1430" s="44"/>
      <c r="B1430" s="37"/>
      <c r="C1430" s="35"/>
      <c r="D1430" s="35"/>
      <c r="E1430" s="35" t="s">
        <v>4249</v>
      </c>
      <c r="F1430" s="36">
        <v>0</v>
      </c>
      <c r="G1430" s="35" t="s">
        <v>4250</v>
      </c>
      <c r="H1430" s="35" t="s">
        <v>4252</v>
      </c>
    </row>
    <row r="1431" spans="1:8" ht="23.1" thickBot="1" x14ac:dyDescent="0.6">
      <c r="A1431" s="44"/>
      <c r="B1431" s="37"/>
      <c r="C1431" s="35"/>
      <c r="D1431" s="35"/>
      <c r="E1431" s="35" t="s">
        <v>4253</v>
      </c>
      <c r="F1431" s="36">
        <v>0</v>
      </c>
      <c r="G1431" s="35" t="s">
        <v>4254</v>
      </c>
      <c r="H1431" s="35" t="s">
        <v>4256</v>
      </c>
    </row>
    <row r="1432" spans="1:8" ht="23.1" thickBot="1" x14ac:dyDescent="0.6">
      <c r="A1432" s="44"/>
      <c r="B1432" s="37"/>
      <c r="C1432" s="35"/>
      <c r="D1432" s="35"/>
      <c r="E1432" s="35" t="s">
        <v>4257</v>
      </c>
      <c r="F1432" s="36">
        <v>0</v>
      </c>
      <c r="G1432" s="35" t="s">
        <v>4258</v>
      </c>
      <c r="H1432" s="35" t="s">
        <v>4260</v>
      </c>
    </row>
    <row r="1433" spans="1:8" ht="23.1" thickBot="1" x14ac:dyDescent="0.6">
      <c r="A1433" s="44"/>
      <c r="B1433" s="37"/>
      <c r="C1433" s="35"/>
      <c r="D1433" s="35"/>
      <c r="E1433" s="35" t="s">
        <v>4261</v>
      </c>
      <c r="F1433" s="36">
        <v>0</v>
      </c>
      <c r="G1433" s="35" t="s">
        <v>4262</v>
      </c>
      <c r="H1433" s="35" t="s">
        <v>4264</v>
      </c>
    </row>
    <row r="1434" spans="1:8" ht="23.1" thickBot="1" x14ac:dyDescent="0.6">
      <c r="A1434" s="44"/>
      <c r="B1434" s="37"/>
      <c r="C1434" s="35"/>
      <c r="D1434" s="35"/>
      <c r="E1434" s="35" t="s">
        <v>4265</v>
      </c>
      <c r="F1434" s="36">
        <v>0</v>
      </c>
      <c r="G1434" s="35" t="s">
        <v>4266</v>
      </c>
      <c r="H1434" s="35" t="s">
        <v>4268</v>
      </c>
    </row>
    <row r="1435" spans="1:8" ht="23.1" thickBot="1" x14ac:dyDescent="0.6">
      <c r="A1435" s="44"/>
      <c r="B1435" s="37"/>
      <c r="C1435" s="35"/>
      <c r="D1435" s="35"/>
      <c r="E1435" s="35" t="s">
        <v>4269</v>
      </c>
      <c r="F1435" s="36">
        <v>0</v>
      </c>
      <c r="G1435" s="35" t="s">
        <v>4270</v>
      </c>
      <c r="H1435" s="35" t="s">
        <v>4272</v>
      </c>
    </row>
    <row r="1436" spans="1:8" ht="23.1" thickBot="1" x14ac:dyDescent="0.6">
      <c r="A1436" s="44"/>
      <c r="B1436" s="37"/>
      <c r="C1436" s="35"/>
      <c r="D1436" s="35"/>
      <c r="E1436" s="35" t="s">
        <v>4273</v>
      </c>
      <c r="F1436" s="36">
        <v>0</v>
      </c>
      <c r="G1436" s="35" t="s">
        <v>4274</v>
      </c>
      <c r="H1436" s="35" t="s">
        <v>4276</v>
      </c>
    </row>
    <row r="1437" spans="1:8" ht="23.1" thickBot="1" x14ac:dyDescent="0.6">
      <c r="A1437" s="44"/>
      <c r="B1437" s="37"/>
      <c r="C1437" s="35"/>
      <c r="D1437" s="35"/>
      <c r="E1437" s="35" t="s">
        <v>4277</v>
      </c>
      <c r="F1437" s="36">
        <v>0</v>
      </c>
      <c r="G1437" s="35" t="s">
        <v>4278</v>
      </c>
      <c r="H1437" s="35" t="s">
        <v>4280</v>
      </c>
    </row>
    <row r="1438" spans="1:8" ht="23.1" thickBot="1" x14ac:dyDescent="0.6">
      <c r="A1438" s="44"/>
      <c r="B1438" s="37"/>
      <c r="C1438" s="35"/>
      <c r="D1438" s="35"/>
      <c r="E1438" s="35" t="s">
        <v>4281</v>
      </c>
      <c r="F1438" s="36">
        <v>0</v>
      </c>
      <c r="G1438" s="35" t="s">
        <v>4282</v>
      </c>
      <c r="H1438" s="35" t="s">
        <v>4284</v>
      </c>
    </row>
    <row r="1439" spans="1:8" ht="23.1" thickBot="1" x14ac:dyDescent="0.6">
      <c r="A1439" s="44"/>
      <c r="B1439" s="37"/>
      <c r="C1439" s="35"/>
      <c r="D1439" s="35"/>
      <c r="E1439" s="35" t="s">
        <v>4285</v>
      </c>
      <c r="F1439" s="36">
        <v>0</v>
      </c>
      <c r="G1439" s="35" t="s">
        <v>4286</v>
      </c>
      <c r="H1439" s="35" t="s">
        <v>4288</v>
      </c>
    </row>
    <row r="1440" spans="1:8" ht="23.1" thickBot="1" x14ac:dyDescent="0.6">
      <c r="A1440" s="44"/>
      <c r="B1440" s="37"/>
      <c r="C1440" s="35"/>
      <c r="D1440" s="35"/>
      <c r="E1440" s="35" t="s">
        <v>4289</v>
      </c>
      <c r="F1440" s="36">
        <v>0</v>
      </c>
      <c r="G1440" s="35" t="s">
        <v>4290</v>
      </c>
      <c r="H1440" s="35" t="s">
        <v>4292</v>
      </c>
    </row>
    <row r="1441" spans="1:8" ht="23.1" thickBot="1" x14ac:dyDescent="0.6">
      <c r="A1441" s="44"/>
      <c r="B1441" s="37"/>
      <c r="C1441" s="35"/>
      <c r="D1441" s="35"/>
      <c r="E1441" s="35" t="s">
        <v>4293</v>
      </c>
      <c r="F1441" s="36">
        <v>0</v>
      </c>
      <c r="G1441" s="35" t="s">
        <v>4294</v>
      </c>
      <c r="H1441" s="35" t="s">
        <v>4296</v>
      </c>
    </row>
    <row r="1442" spans="1:8" ht="23.1" thickBot="1" x14ac:dyDescent="0.6">
      <c r="A1442" s="44"/>
      <c r="B1442" s="37"/>
      <c r="C1442" s="35"/>
      <c r="D1442" s="35"/>
      <c r="E1442" s="35" t="s">
        <v>4297</v>
      </c>
      <c r="F1442" s="36">
        <v>0</v>
      </c>
      <c r="G1442" s="35" t="s">
        <v>4298</v>
      </c>
      <c r="H1442" s="35" t="s">
        <v>4300</v>
      </c>
    </row>
    <row r="1443" spans="1:8" ht="23.1" thickBot="1" x14ac:dyDescent="0.6">
      <c r="A1443" s="44"/>
      <c r="B1443" s="37"/>
      <c r="C1443" s="35"/>
      <c r="D1443" s="35"/>
      <c r="E1443" s="35" t="s">
        <v>4301</v>
      </c>
      <c r="F1443" s="36">
        <v>0</v>
      </c>
      <c r="G1443" s="35" t="s">
        <v>4302</v>
      </c>
      <c r="H1443" s="35" t="s">
        <v>4304</v>
      </c>
    </row>
    <row r="1444" spans="1:8" ht="14.7" thickBot="1" x14ac:dyDescent="0.6">
      <c r="A1444" s="44"/>
      <c r="B1444" s="37"/>
      <c r="C1444" s="35" t="s">
        <v>6762</v>
      </c>
      <c r="D1444" s="35" t="s">
        <v>7882</v>
      </c>
      <c r="E1444" s="35"/>
      <c r="F1444" s="36"/>
      <c r="G1444" s="35"/>
      <c r="H1444" s="35"/>
    </row>
    <row r="1445" spans="1:8" ht="14.7" thickBot="1" x14ac:dyDescent="0.6">
      <c r="A1445" s="44"/>
      <c r="B1445" s="37"/>
      <c r="C1445" s="35" t="s">
        <v>6824</v>
      </c>
      <c r="D1445" s="35" t="s">
        <v>7883</v>
      </c>
      <c r="E1445" s="35"/>
      <c r="F1445" s="36"/>
      <c r="G1445" s="35"/>
      <c r="H1445" s="35"/>
    </row>
    <row r="1446" spans="1:8" ht="14.7" thickBot="1" x14ac:dyDescent="0.6">
      <c r="A1446" s="44"/>
      <c r="B1446" s="37"/>
      <c r="C1446" s="35" t="s">
        <v>6762</v>
      </c>
      <c r="D1446" s="35" t="s">
        <v>7884</v>
      </c>
      <c r="E1446" s="35"/>
      <c r="F1446" s="36"/>
      <c r="G1446" s="35"/>
      <c r="H1446" s="35"/>
    </row>
    <row r="1447" spans="1:8" ht="23.1" thickBot="1" x14ac:dyDescent="0.6">
      <c r="A1447" s="44"/>
      <c r="B1447" s="37"/>
      <c r="C1447" s="35" t="s">
        <v>6762</v>
      </c>
      <c r="D1447" s="35" t="s">
        <v>7885</v>
      </c>
      <c r="E1447" s="35"/>
      <c r="F1447" s="36"/>
      <c r="G1447" s="35"/>
      <c r="H1447" s="35"/>
    </row>
    <row r="1448" spans="1:8" ht="14.7" thickBot="1" x14ac:dyDescent="0.6">
      <c r="A1448" s="44"/>
      <c r="B1448" s="37"/>
      <c r="C1448" s="35" t="s">
        <v>6762</v>
      </c>
      <c r="D1448" s="35" t="s">
        <v>7886</v>
      </c>
      <c r="E1448" s="35"/>
      <c r="F1448" s="36"/>
      <c r="G1448" s="35"/>
      <c r="H1448" s="35"/>
    </row>
    <row r="1449" spans="1:8" ht="14.7" thickBot="1" x14ac:dyDescent="0.6">
      <c r="A1449" s="44"/>
      <c r="B1449" s="37"/>
      <c r="C1449" s="35" t="s">
        <v>6831</v>
      </c>
      <c r="D1449" s="35" t="s">
        <v>7887</v>
      </c>
      <c r="E1449" s="35"/>
      <c r="F1449" s="36"/>
      <c r="G1449" s="35"/>
      <c r="H1449" s="35"/>
    </row>
    <row r="1450" spans="1:8" ht="14.7" thickBot="1" x14ac:dyDescent="0.6">
      <c r="A1450" s="44"/>
      <c r="B1450" s="37"/>
      <c r="C1450" s="35" t="s">
        <v>6762</v>
      </c>
      <c r="D1450" s="35" t="s">
        <v>7888</v>
      </c>
      <c r="E1450" s="35"/>
      <c r="F1450" s="36"/>
      <c r="G1450" s="35"/>
      <c r="H1450" s="35"/>
    </row>
    <row r="1451" spans="1:8" ht="14.7" thickBot="1" x14ac:dyDescent="0.6">
      <c r="A1451" s="44"/>
      <c r="B1451" s="37"/>
      <c r="C1451" s="35" t="s">
        <v>6762</v>
      </c>
      <c r="D1451" s="35" t="s">
        <v>7889</v>
      </c>
      <c r="E1451" s="35"/>
      <c r="F1451" s="36"/>
      <c r="G1451" s="35"/>
      <c r="H1451" s="35"/>
    </row>
    <row r="1452" spans="1:8" ht="14.7" thickBot="1" x14ac:dyDescent="0.6">
      <c r="A1452" s="44"/>
      <c r="B1452" s="37"/>
      <c r="C1452" s="35" t="s">
        <v>6762</v>
      </c>
      <c r="D1452" s="35" t="s">
        <v>7890</v>
      </c>
      <c r="E1452" s="35"/>
      <c r="F1452" s="36"/>
      <c r="G1452" s="35"/>
      <c r="H1452" s="35"/>
    </row>
    <row r="1453" spans="1:8" ht="14.7" thickBot="1" x14ac:dyDescent="0.6">
      <c r="A1453" s="44"/>
      <c r="B1453" s="37"/>
      <c r="C1453" s="35" t="s">
        <v>6834</v>
      </c>
      <c r="D1453" s="35" t="s">
        <v>7891</v>
      </c>
      <c r="E1453" s="35"/>
      <c r="F1453" s="36"/>
      <c r="G1453" s="35"/>
      <c r="H1453" s="35"/>
    </row>
    <row r="1454" spans="1:8" ht="14.7" thickBot="1" x14ac:dyDescent="0.6">
      <c r="A1454" s="44"/>
      <c r="B1454" s="37"/>
      <c r="C1454" s="35" t="s">
        <v>6828</v>
      </c>
      <c r="D1454" s="35" t="s">
        <v>7892</v>
      </c>
      <c r="E1454" s="35"/>
      <c r="F1454" s="36"/>
      <c r="G1454" s="35"/>
      <c r="H1454" s="35"/>
    </row>
    <row r="1455" spans="1:8" ht="14.7" thickBot="1" x14ac:dyDescent="0.6">
      <c r="A1455" s="44"/>
      <c r="B1455" s="37"/>
      <c r="C1455" s="35" t="s">
        <v>6828</v>
      </c>
      <c r="D1455" s="35" t="s">
        <v>7893</v>
      </c>
      <c r="E1455" s="35"/>
      <c r="F1455" s="36"/>
      <c r="G1455" s="35"/>
      <c r="H1455" s="35"/>
    </row>
    <row r="1456" spans="1:8" ht="14.7" thickBot="1" x14ac:dyDescent="0.6">
      <c r="A1456" s="44"/>
      <c r="B1456" s="37"/>
      <c r="C1456" s="35" t="s">
        <v>6835</v>
      </c>
      <c r="D1456" s="35" t="s">
        <v>7894</v>
      </c>
      <c r="E1456" s="35"/>
      <c r="F1456" s="36"/>
      <c r="G1456" s="35"/>
      <c r="H1456" s="35"/>
    </row>
    <row r="1457" spans="1:8" ht="34.5" thickBot="1" x14ac:dyDescent="0.6">
      <c r="A1457" s="44"/>
      <c r="B1457" s="37"/>
      <c r="C1457" s="35"/>
      <c r="D1457" s="35"/>
      <c r="E1457" s="35" t="s">
        <v>4305</v>
      </c>
      <c r="F1457" s="36">
        <v>0</v>
      </c>
      <c r="G1457" s="35" t="s">
        <v>4306</v>
      </c>
      <c r="H1457" s="35" t="s">
        <v>4308</v>
      </c>
    </row>
    <row r="1458" spans="1:8" ht="23.1" thickBot="1" x14ac:dyDescent="0.6">
      <c r="A1458" s="44"/>
      <c r="B1458" s="37"/>
      <c r="C1458" s="35"/>
      <c r="D1458" s="35"/>
      <c r="E1458" s="35" t="s">
        <v>4309</v>
      </c>
      <c r="F1458" s="36">
        <v>0</v>
      </c>
      <c r="G1458" s="35" t="s">
        <v>4310</v>
      </c>
      <c r="H1458" s="35" t="s">
        <v>4312</v>
      </c>
    </row>
    <row r="1459" spans="1:8" ht="34.5" thickBot="1" x14ac:dyDescent="0.6">
      <c r="A1459" s="44"/>
      <c r="B1459" s="37"/>
      <c r="C1459" s="35"/>
      <c r="D1459" s="35"/>
      <c r="E1459" s="35" t="s">
        <v>4313</v>
      </c>
      <c r="F1459" s="36">
        <v>0</v>
      </c>
      <c r="G1459" s="35" t="s">
        <v>4314</v>
      </c>
      <c r="H1459" s="35" t="s">
        <v>4316</v>
      </c>
    </row>
    <row r="1460" spans="1:8" ht="34.5" thickBot="1" x14ac:dyDescent="0.6">
      <c r="A1460" s="44"/>
      <c r="B1460" s="37"/>
      <c r="C1460" s="35"/>
      <c r="D1460" s="35"/>
      <c r="E1460" s="35" t="s">
        <v>4317</v>
      </c>
      <c r="F1460" s="36">
        <v>0</v>
      </c>
      <c r="G1460" s="35" t="s">
        <v>4318</v>
      </c>
      <c r="H1460" s="35" t="s">
        <v>4320</v>
      </c>
    </row>
    <row r="1461" spans="1:8" ht="23.1" thickBot="1" x14ac:dyDescent="0.6">
      <c r="A1461" s="44"/>
      <c r="B1461" s="37"/>
      <c r="C1461" s="35" t="s">
        <v>6778</v>
      </c>
      <c r="D1461" s="35" t="s">
        <v>7895</v>
      </c>
      <c r="E1461" s="35" t="s">
        <v>4321</v>
      </c>
      <c r="F1461" s="36">
        <v>0</v>
      </c>
      <c r="G1461" s="35" t="s">
        <v>4322</v>
      </c>
      <c r="H1461" s="35" t="s">
        <v>4324</v>
      </c>
    </row>
    <row r="1462" spans="1:8" ht="34.5" thickBot="1" x14ac:dyDescent="0.6">
      <c r="A1462" s="44"/>
      <c r="B1462" s="37"/>
      <c r="C1462" s="35"/>
      <c r="D1462" s="35"/>
      <c r="E1462" s="35" t="s">
        <v>4325</v>
      </c>
      <c r="F1462" s="36">
        <v>0</v>
      </c>
      <c r="G1462" s="35" t="s">
        <v>4326</v>
      </c>
      <c r="H1462" s="35" t="s">
        <v>4328</v>
      </c>
    </row>
    <row r="1463" spans="1:8" ht="34.5" thickBot="1" x14ac:dyDescent="0.6">
      <c r="A1463" s="44"/>
      <c r="B1463" s="37"/>
      <c r="C1463" s="35"/>
      <c r="D1463" s="35"/>
      <c r="E1463" s="35" t="s">
        <v>4329</v>
      </c>
      <c r="F1463" s="36">
        <v>0</v>
      </c>
      <c r="G1463" s="35" t="s">
        <v>4330</v>
      </c>
      <c r="H1463" s="35" t="s">
        <v>4332</v>
      </c>
    </row>
    <row r="1464" spans="1:8" ht="14.7" thickBot="1" x14ac:dyDescent="0.6">
      <c r="A1464" s="44"/>
      <c r="B1464" s="37"/>
      <c r="C1464" s="35" t="s">
        <v>6747</v>
      </c>
      <c r="D1464" s="35" t="s">
        <v>7896</v>
      </c>
      <c r="E1464" s="35"/>
      <c r="F1464" s="36"/>
      <c r="G1464" s="35"/>
      <c r="H1464" s="35"/>
    </row>
    <row r="1465" spans="1:8" ht="14.7" thickBot="1" x14ac:dyDescent="0.6">
      <c r="A1465" s="44"/>
      <c r="B1465" s="37"/>
      <c r="C1465" s="35" t="s">
        <v>6816</v>
      </c>
      <c r="D1465" s="35" t="s">
        <v>7897</v>
      </c>
      <c r="E1465" s="35"/>
      <c r="F1465" s="36"/>
      <c r="G1465" s="35"/>
      <c r="H1465" s="35"/>
    </row>
    <row r="1466" spans="1:8" ht="14.7" thickBot="1" x14ac:dyDescent="0.6">
      <c r="A1466" s="44"/>
      <c r="B1466" s="37"/>
      <c r="C1466" s="35" t="s">
        <v>6822</v>
      </c>
      <c r="D1466" s="35" t="s">
        <v>7898</v>
      </c>
      <c r="E1466" s="35"/>
      <c r="F1466" s="36"/>
      <c r="G1466" s="35"/>
      <c r="H1466" s="35"/>
    </row>
    <row r="1467" spans="1:8" ht="14.7" thickBot="1" x14ac:dyDescent="0.6">
      <c r="A1467" s="44"/>
      <c r="B1467" s="37"/>
      <c r="C1467" s="35" t="s">
        <v>6830</v>
      </c>
      <c r="D1467" s="35" t="s">
        <v>7899</v>
      </c>
      <c r="E1467" s="35"/>
      <c r="F1467" s="36"/>
      <c r="G1467" s="35"/>
      <c r="H1467" s="35"/>
    </row>
    <row r="1468" spans="1:8" ht="23.1" thickBot="1" x14ac:dyDescent="0.6">
      <c r="A1468" s="44" t="s">
        <v>7900</v>
      </c>
      <c r="B1468" s="37" t="s">
        <v>6566</v>
      </c>
      <c r="C1468" s="35" t="s">
        <v>6790</v>
      </c>
      <c r="D1468" s="35" t="s">
        <v>7901</v>
      </c>
      <c r="E1468" s="35" t="s">
        <v>4333</v>
      </c>
      <c r="F1468" s="36">
        <v>0</v>
      </c>
      <c r="G1468" s="35" t="s">
        <v>4334</v>
      </c>
      <c r="H1468" s="35" t="s">
        <v>4336</v>
      </c>
    </row>
    <row r="1469" spans="1:8" ht="14.7" thickBot="1" x14ac:dyDescent="0.6">
      <c r="A1469" s="44"/>
      <c r="B1469" s="37"/>
      <c r="C1469" s="35" t="s">
        <v>6789</v>
      </c>
      <c r="D1469" s="35" t="s">
        <v>7902</v>
      </c>
      <c r="E1469" s="35"/>
      <c r="F1469" s="36"/>
      <c r="G1469" s="35"/>
      <c r="H1469" s="35"/>
    </row>
    <row r="1470" spans="1:8" ht="23.1" thickBot="1" x14ac:dyDescent="0.6">
      <c r="A1470" s="44"/>
      <c r="B1470" s="37"/>
      <c r="C1470" s="35"/>
      <c r="D1470" s="35"/>
      <c r="E1470" s="35" t="s">
        <v>4337</v>
      </c>
      <c r="F1470" s="36">
        <v>0</v>
      </c>
      <c r="G1470" s="35" t="s">
        <v>1317</v>
      </c>
      <c r="H1470" s="35" t="s">
        <v>4339</v>
      </c>
    </row>
    <row r="1471" spans="1:8" ht="23.1" thickBot="1" x14ac:dyDescent="0.6">
      <c r="A1471" s="44"/>
      <c r="B1471" s="37"/>
      <c r="C1471" s="35"/>
      <c r="D1471" s="35"/>
      <c r="E1471" s="35" t="s">
        <v>4340</v>
      </c>
      <c r="F1471" s="36">
        <v>0</v>
      </c>
      <c r="G1471" s="35" t="s">
        <v>4341</v>
      </c>
      <c r="H1471" s="35" t="s">
        <v>4343</v>
      </c>
    </row>
    <row r="1472" spans="1:8" ht="23.1" thickBot="1" x14ac:dyDescent="0.6">
      <c r="A1472" s="44" t="s">
        <v>7903</v>
      </c>
      <c r="B1472" s="37" t="s">
        <v>6400</v>
      </c>
      <c r="C1472" s="35" t="s">
        <v>6789</v>
      </c>
      <c r="D1472" s="35" t="s">
        <v>7904</v>
      </c>
      <c r="E1472" s="35"/>
      <c r="F1472" s="36"/>
      <c r="G1472" s="35"/>
      <c r="H1472" s="35"/>
    </row>
    <row r="1473" spans="1:8" ht="23.1" thickBot="1" x14ac:dyDescent="0.6">
      <c r="A1473" s="44"/>
      <c r="B1473" s="37"/>
      <c r="C1473" s="35" t="s">
        <v>6800</v>
      </c>
      <c r="D1473" s="35" t="s">
        <v>7905</v>
      </c>
      <c r="E1473" s="35"/>
      <c r="F1473" s="36"/>
      <c r="G1473" s="35"/>
      <c r="H1473" s="35"/>
    </row>
    <row r="1474" spans="1:8" ht="23.1" thickBot="1" x14ac:dyDescent="0.6">
      <c r="A1474" s="44" t="s">
        <v>7906</v>
      </c>
      <c r="B1474" s="37" t="s">
        <v>6526</v>
      </c>
      <c r="C1474" s="35"/>
      <c r="D1474" s="35"/>
      <c r="E1474" s="35"/>
      <c r="F1474" s="36"/>
      <c r="G1474" s="35"/>
      <c r="H1474" s="35"/>
    </row>
    <row r="1475" spans="1:8" ht="14.7" thickBot="1" x14ac:dyDescent="0.6">
      <c r="A1475" s="44"/>
      <c r="B1475" s="37"/>
      <c r="C1475" s="35" t="s">
        <v>6830</v>
      </c>
      <c r="D1475" s="35" t="s">
        <v>7907</v>
      </c>
      <c r="E1475" s="35"/>
      <c r="F1475" s="36"/>
      <c r="G1475" s="35"/>
      <c r="H1475" s="35"/>
    </row>
    <row r="1476" spans="1:8" ht="14.7" thickBot="1" x14ac:dyDescent="0.6">
      <c r="A1476" s="44"/>
      <c r="B1476" s="37"/>
      <c r="C1476" s="35"/>
      <c r="D1476" s="35" t="s">
        <v>7908</v>
      </c>
      <c r="E1476" s="35"/>
      <c r="F1476" s="36"/>
      <c r="G1476" s="35"/>
      <c r="H1476" s="35"/>
    </row>
    <row r="1477" spans="1:8" ht="23.1" thickBot="1" x14ac:dyDescent="0.6">
      <c r="A1477" s="44"/>
      <c r="B1477" s="37"/>
      <c r="C1477" s="35"/>
      <c r="D1477" s="35"/>
      <c r="E1477" s="35" t="s">
        <v>4344</v>
      </c>
      <c r="F1477" s="36">
        <v>0</v>
      </c>
      <c r="G1477" s="35" t="s">
        <v>4345</v>
      </c>
      <c r="H1477" s="35" t="s">
        <v>4347</v>
      </c>
    </row>
    <row r="1478" spans="1:8" ht="23.1" thickBot="1" x14ac:dyDescent="0.6">
      <c r="A1478" s="44"/>
      <c r="B1478" s="37"/>
      <c r="C1478" s="35"/>
      <c r="D1478" s="35"/>
      <c r="E1478" s="35" t="s">
        <v>4348</v>
      </c>
      <c r="F1478" s="36">
        <v>0</v>
      </c>
      <c r="G1478" s="35" t="s">
        <v>4349</v>
      </c>
      <c r="H1478" s="35" t="s">
        <v>4351</v>
      </c>
    </row>
    <row r="1479" spans="1:8" ht="23.1" thickBot="1" x14ac:dyDescent="0.6">
      <c r="A1479" s="44"/>
      <c r="B1479" s="37"/>
      <c r="C1479" s="35"/>
      <c r="D1479" s="35"/>
      <c r="E1479" s="35" t="s">
        <v>4352</v>
      </c>
      <c r="F1479" s="36">
        <v>0</v>
      </c>
      <c r="G1479" s="35" t="s">
        <v>4353</v>
      </c>
      <c r="H1479" s="35" t="s">
        <v>4355</v>
      </c>
    </row>
    <row r="1480" spans="1:8" ht="23.1" thickBot="1" x14ac:dyDescent="0.6">
      <c r="A1480" s="44"/>
      <c r="B1480" s="37"/>
      <c r="C1480" s="35"/>
      <c r="D1480" s="35"/>
      <c r="E1480" s="35" t="s">
        <v>4356</v>
      </c>
      <c r="F1480" s="36">
        <v>0</v>
      </c>
      <c r="G1480" s="35" t="s">
        <v>4357</v>
      </c>
      <c r="H1480" s="35" t="s">
        <v>4359</v>
      </c>
    </row>
    <row r="1481" spans="1:8" ht="23.1" thickBot="1" x14ac:dyDescent="0.6">
      <c r="A1481" s="44"/>
      <c r="B1481" s="37"/>
      <c r="C1481" s="35"/>
      <c r="D1481" s="35"/>
      <c r="E1481" s="35" t="s">
        <v>4360</v>
      </c>
      <c r="F1481" s="36">
        <v>0</v>
      </c>
      <c r="G1481" s="35" t="s">
        <v>4361</v>
      </c>
      <c r="H1481" s="35" t="s">
        <v>4363</v>
      </c>
    </row>
    <row r="1482" spans="1:8" ht="23.1" thickBot="1" x14ac:dyDescent="0.6">
      <c r="A1482" s="44"/>
      <c r="B1482" s="37"/>
      <c r="C1482" s="35"/>
      <c r="D1482" s="35"/>
      <c r="E1482" s="35" t="s">
        <v>4364</v>
      </c>
      <c r="F1482" s="36">
        <v>0</v>
      </c>
      <c r="G1482" s="35" t="s">
        <v>4365</v>
      </c>
      <c r="H1482" s="35" t="s">
        <v>4367</v>
      </c>
    </row>
    <row r="1483" spans="1:8" ht="23.1" thickBot="1" x14ac:dyDescent="0.6">
      <c r="A1483" s="44"/>
      <c r="B1483" s="37"/>
      <c r="C1483" s="35"/>
      <c r="D1483" s="35"/>
      <c r="E1483" s="35" t="s">
        <v>4368</v>
      </c>
      <c r="F1483" s="36">
        <v>0</v>
      </c>
      <c r="G1483" s="35" t="s">
        <v>4369</v>
      </c>
      <c r="H1483" s="35" t="s">
        <v>4371</v>
      </c>
    </row>
    <row r="1484" spans="1:8" ht="23.1" thickBot="1" x14ac:dyDescent="0.6">
      <c r="A1484" s="44"/>
      <c r="B1484" s="37"/>
      <c r="C1484" s="35"/>
      <c r="D1484" s="35"/>
      <c r="E1484" s="35" t="s">
        <v>4372</v>
      </c>
      <c r="F1484" s="36">
        <v>0</v>
      </c>
      <c r="G1484" s="35" t="s">
        <v>4373</v>
      </c>
      <c r="H1484" s="35" t="s">
        <v>4375</v>
      </c>
    </row>
    <row r="1485" spans="1:8" ht="23.1" thickBot="1" x14ac:dyDescent="0.6">
      <c r="A1485" s="44"/>
      <c r="B1485" s="37"/>
      <c r="C1485" s="35"/>
      <c r="D1485" s="35"/>
      <c r="E1485" s="35" t="s">
        <v>4376</v>
      </c>
      <c r="F1485" s="36">
        <v>0</v>
      </c>
      <c r="G1485" s="35" t="s">
        <v>4377</v>
      </c>
      <c r="H1485" s="35" t="s">
        <v>4379</v>
      </c>
    </row>
    <row r="1486" spans="1:8" ht="23.1" thickBot="1" x14ac:dyDescent="0.6">
      <c r="A1486" s="44"/>
      <c r="B1486" s="37"/>
      <c r="C1486" s="35"/>
      <c r="D1486" s="35"/>
      <c r="E1486" s="35" t="s">
        <v>4380</v>
      </c>
      <c r="F1486" s="36">
        <v>0</v>
      </c>
      <c r="G1486" s="35" t="s">
        <v>4381</v>
      </c>
      <c r="H1486" s="35" t="s">
        <v>4383</v>
      </c>
    </row>
    <row r="1487" spans="1:8" ht="23.1" thickBot="1" x14ac:dyDescent="0.6">
      <c r="A1487" s="44"/>
      <c r="B1487" s="37"/>
      <c r="C1487" s="35"/>
      <c r="D1487" s="35"/>
      <c r="E1487" s="35" t="s">
        <v>4384</v>
      </c>
      <c r="F1487" s="36">
        <v>0</v>
      </c>
      <c r="G1487" s="35" t="s">
        <v>4385</v>
      </c>
      <c r="H1487" s="35" t="s">
        <v>4387</v>
      </c>
    </row>
    <row r="1488" spans="1:8" ht="23.1" thickBot="1" x14ac:dyDescent="0.6">
      <c r="A1488" s="44"/>
      <c r="B1488" s="37"/>
      <c r="C1488" s="35"/>
      <c r="D1488" s="35"/>
      <c r="E1488" s="35" t="s">
        <v>4388</v>
      </c>
      <c r="F1488" s="36">
        <v>0</v>
      </c>
      <c r="G1488" s="35" t="s">
        <v>4389</v>
      </c>
      <c r="H1488" s="35" t="s">
        <v>4391</v>
      </c>
    </row>
    <row r="1489" spans="1:8" ht="23.1" thickBot="1" x14ac:dyDescent="0.6">
      <c r="A1489" s="44"/>
      <c r="B1489" s="37"/>
      <c r="C1489" s="35"/>
      <c r="D1489" s="35"/>
      <c r="E1489" s="35" t="s">
        <v>4392</v>
      </c>
      <c r="F1489" s="36">
        <v>0</v>
      </c>
      <c r="G1489" s="35" t="s">
        <v>4393</v>
      </c>
      <c r="H1489" s="35" t="s">
        <v>4395</v>
      </c>
    </row>
    <row r="1490" spans="1:8" ht="23.1" thickBot="1" x14ac:dyDescent="0.6">
      <c r="A1490" s="44"/>
      <c r="B1490" s="37"/>
      <c r="C1490" s="35"/>
      <c r="D1490" s="35"/>
      <c r="E1490" s="35" t="s">
        <v>4396</v>
      </c>
      <c r="F1490" s="36">
        <v>0</v>
      </c>
      <c r="G1490" s="35" t="s">
        <v>4397</v>
      </c>
      <c r="H1490" s="35" t="s">
        <v>4399</v>
      </c>
    </row>
    <row r="1491" spans="1:8" ht="23.1" thickBot="1" x14ac:dyDescent="0.6">
      <c r="A1491" s="44"/>
      <c r="B1491" s="37"/>
      <c r="C1491" s="35"/>
      <c r="D1491" s="35"/>
      <c r="E1491" s="35" t="s">
        <v>4400</v>
      </c>
      <c r="F1491" s="36">
        <v>0</v>
      </c>
      <c r="G1491" s="35" t="s">
        <v>4401</v>
      </c>
      <c r="H1491" s="35" t="s">
        <v>4403</v>
      </c>
    </row>
    <row r="1492" spans="1:8" ht="23.1" thickBot="1" x14ac:dyDescent="0.6">
      <c r="A1492" s="44"/>
      <c r="B1492" s="37"/>
      <c r="C1492" s="35"/>
      <c r="D1492" s="35"/>
      <c r="E1492" s="35" t="s">
        <v>4404</v>
      </c>
      <c r="F1492" s="36">
        <v>0</v>
      </c>
      <c r="G1492" s="35" t="s">
        <v>4405</v>
      </c>
      <c r="H1492" s="35" t="s">
        <v>4407</v>
      </c>
    </row>
    <row r="1493" spans="1:8" ht="23.1" thickBot="1" x14ac:dyDescent="0.6">
      <c r="A1493" s="44"/>
      <c r="B1493" s="37"/>
      <c r="C1493" s="35"/>
      <c r="D1493" s="35"/>
      <c r="E1493" s="35" t="s">
        <v>4408</v>
      </c>
      <c r="F1493" s="36">
        <v>0</v>
      </c>
      <c r="G1493" s="35" t="s">
        <v>4409</v>
      </c>
      <c r="H1493" s="35" t="s">
        <v>4411</v>
      </c>
    </row>
    <row r="1494" spans="1:8" ht="23.1" thickBot="1" x14ac:dyDescent="0.6">
      <c r="A1494" s="44"/>
      <c r="B1494" s="37"/>
      <c r="C1494" s="35"/>
      <c r="D1494" s="35"/>
      <c r="E1494" s="35" t="s">
        <v>4412</v>
      </c>
      <c r="F1494" s="36">
        <v>0</v>
      </c>
      <c r="G1494" s="35" t="s">
        <v>4413</v>
      </c>
      <c r="H1494" s="35" t="s">
        <v>4415</v>
      </c>
    </row>
    <row r="1495" spans="1:8" ht="23.1" thickBot="1" x14ac:dyDescent="0.6">
      <c r="A1495" s="44"/>
      <c r="B1495" s="37"/>
      <c r="C1495" s="35"/>
      <c r="D1495" s="35"/>
      <c r="E1495" s="35" t="s">
        <v>4416</v>
      </c>
      <c r="F1495" s="36">
        <v>0</v>
      </c>
      <c r="G1495" s="35" t="s">
        <v>4417</v>
      </c>
      <c r="H1495" s="35" t="s">
        <v>4419</v>
      </c>
    </row>
    <row r="1496" spans="1:8" ht="23.1" thickBot="1" x14ac:dyDescent="0.6">
      <c r="A1496" s="44"/>
      <c r="B1496" s="37"/>
      <c r="C1496" s="35"/>
      <c r="D1496" s="35"/>
      <c r="E1496" s="35" t="s">
        <v>4420</v>
      </c>
      <c r="F1496" s="36">
        <v>0</v>
      </c>
      <c r="G1496" s="35" t="s">
        <v>4421</v>
      </c>
      <c r="H1496" s="35" t="s">
        <v>4423</v>
      </c>
    </row>
    <row r="1497" spans="1:8" ht="23.1" thickBot="1" x14ac:dyDescent="0.6">
      <c r="A1497" s="44"/>
      <c r="B1497" s="37"/>
      <c r="C1497" s="35"/>
      <c r="D1497" s="35"/>
      <c r="E1497" s="35" t="s">
        <v>4424</v>
      </c>
      <c r="F1497" s="36">
        <v>0</v>
      </c>
      <c r="G1497" s="35" t="s">
        <v>4425</v>
      </c>
      <c r="H1497" s="35" t="s">
        <v>4427</v>
      </c>
    </row>
    <row r="1498" spans="1:8" ht="23.1" thickBot="1" x14ac:dyDescent="0.6">
      <c r="A1498" s="44"/>
      <c r="B1498" s="37"/>
      <c r="C1498" s="35"/>
      <c r="D1498" s="35"/>
      <c r="E1498" s="35" t="s">
        <v>4428</v>
      </c>
      <c r="F1498" s="36">
        <v>0</v>
      </c>
      <c r="G1498" s="35" t="s">
        <v>4429</v>
      </c>
      <c r="H1498" s="35" t="s">
        <v>4431</v>
      </c>
    </row>
    <row r="1499" spans="1:8" ht="14.7" thickBot="1" x14ac:dyDescent="0.6">
      <c r="A1499" s="44"/>
      <c r="B1499" s="37"/>
      <c r="C1499" s="35"/>
      <c r="D1499" s="35"/>
      <c r="E1499" s="35" t="s">
        <v>4432</v>
      </c>
      <c r="F1499" s="36">
        <v>0</v>
      </c>
      <c r="G1499" s="35" t="s">
        <v>4433</v>
      </c>
      <c r="H1499" s="35" t="s">
        <v>4435</v>
      </c>
    </row>
    <row r="1500" spans="1:8" ht="23.1" thickBot="1" x14ac:dyDescent="0.6">
      <c r="A1500" s="44"/>
      <c r="B1500" s="37"/>
      <c r="C1500" s="35"/>
      <c r="D1500" s="35"/>
      <c r="E1500" s="35" t="s">
        <v>4436</v>
      </c>
      <c r="F1500" s="36">
        <v>0</v>
      </c>
      <c r="G1500" s="35" t="s">
        <v>1675</v>
      </c>
      <c r="H1500" s="35" t="s">
        <v>4438</v>
      </c>
    </row>
    <row r="1501" spans="1:8" ht="23.1" thickBot="1" x14ac:dyDescent="0.6">
      <c r="A1501" s="44"/>
      <c r="B1501" s="37"/>
      <c r="C1501" s="35"/>
      <c r="D1501" s="35"/>
      <c r="E1501" s="35" t="s">
        <v>4440</v>
      </c>
      <c r="F1501" s="36">
        <v>0</v>
      </c>
      <c r="G1501" s="35" t="s">
        <v>4441</v>
      </c>
      <c r="H1501" s="35" t="s">
        <v>4439</v>
      </c>
    </row>
    <row r="1502" spans="1:8" ht="23.1" thickBot="1" x14ac:dyDescent="0.6">
      <c r="A1502" s="44"/>
      <c r="B1502" s="37"/>
      <c r="C1502" s="35"/>
      <c r="D1502" s="35"/>
      <c r="E1502" s="35" t="s">
        <v>4443</v>
      </c>
      <c r="F1502" s="36">
        <v>1</v>
      </c>
      <c r="G1502" s="35" t="s">
        <v>4444</v>
      </c>
      <c r="H1502" s="35" t="s">
        <v>4439</v>
      </c>
    </row>
    <row r="1503" spans="1:8" ht="23.1" thickBot="1" x14ac:dyDescent="0.6">
      <c r="A1503" s="44"/>
      <c r="B1503" s="37"/>
      <c r="C1503" s="35"/>
      <c r="D1503" s="35"/>
      <c r="E1503" s="35" t="s">
        <v>4446</v>
      </c>
      <c r="F1503" s="36">
        <v>2</v>
      </c>
      <c r="G1503" s="35" t="s">
        <v>4447</v>
      </c>
      <c r="H1503" s="35" t="s">
        <v>4439</v>
      </c>
    </row>
    <row r="1504" spans="1:8" ht="23.1" thickBot="1" x14ac:dyDescent="0.6">
      <c r="A1504" s="44"/>
      <c r="B1504" s="37"/>
      <c r="C1504" s="35"/>
      <c r="D1504" s="35"/>
      <c r="E1504" s="35" t="s">
        <v>4450</v>
      </c>
      <c r="F1504" s="36">
        <v>0</v>
      </c>
      <c r="G1504" s="35" t="s">
        <v>4451</v>
      </c>
      <c r="H1504" s="35" t="s">
        <v>4449</v>
      </c>
    </row>
    <row r="1505" spans="1:8" ht="23.1" thickBot="1" x14ac:dyDescent="0.6">
      <c r="A1505" s="44"/>
      <c r="B1505" s="37"/>
      <c r="C1505" s="35"/>
      <c r="D1505" s="35"/>
      <c r="E1505" s="35" t="s">
        <v>4453</v>
      </c>
      <c r="F1505" s="36">
        <v>1</v>
      </c>
      <c r="G1505" s="35" t="s">
        <v>4454</v>
      </c>
      <c r="H1505" s="35" t="s">
        <v>4449</v>
      </c>
    </row>
    <row r="1506" spans="1:8" ht="23.1" thickBot="1" x14ac:dyDescent="0.6">
      <c r="A1506" s="44"/>
      <c r="B1506" s="37"/>
      <c r="C1506" s="35"/>
      <c r="D1506" s="35"/>
      <c r="E1506" s="35" t="s">
        <v>4456</v>
      </c>
      <c r="F1506" s="36">
        <v>2</v>
      </c>
      <c r="G1506" s="35" t="s">
        <v>4457</v>
      </c>
      <c r="H1506" s="35" t="s">
        <v>4449</v>
      </c>
    </row>
    <row r="1507" spans="1:8" ht="23.1" thickBot="1" x14ac:dyDescent="0.6">
      <c r="A1507" s="44"/>
      <c r="B1507" s="37"/>
      <c r="C1507" s="35"/>
      <c r="D1507" s="35"/>
      <c r="E1507" s="35" t="s">
        <v>4459</v>
      </c>
      <c r="F1507" s="36">
        <v>0</v>
      </c>
      <c r="G1507" s="35" t="s">
        <v>4460</v>
      </c>
      <c r="H1507" s="35" t="s">
        <v>4462</v>
      </c>
    </row>
    <row r="1508" spans="1:8" ht="23.1" thickBot="1" x14ac:dyDescent="0.6">
      <c r="A1508" s="44"/>
      <c r="B1508" s="37"/>
      <c r="C1508" s="35"/>
      <c r="D1508" s="35"/>
      <c r="E1508" s="35" t="s">
        <v>4463</v>
      </c>
      <c r="F1508" s="36">
        <v>0</v>
      </c>
      <c r="G1508" s="35" t="s">
        <v>4464</v>
      </c>
      <c r="H1508" s="35" t="s">
        <v>4466</v>
      </c>
    </row>
    <row r="1509" spans="1:8" ht="23.1" thickBot="1" x14ac:dyDescent="0.6">
      <c r="A1509" s="44"/>
      <c r="B1509" s="37"/>
      <c r="C1509" s="35"/>
      <c r="D1509" s="35"/>
      <c r="E1509" s="35" t="s">
        <v>4467</v>
      </c>
      <c r="F1509" s="36">
        <v>0</v>
      </c>
      <c r="G1509" s="35" t="s">
        <v>4468</v>
      </c>
      <c r="H1509" s="35" t="s">
        <v>4470</v>
      </c>
    </row>
    <row r="1510" spans="1:8" ht="23.1" thickBot="1" x14ac:dyDescent="0.6">
      <c r="A1510" s="44"/>
      <c r="B1510" s="37"/>
      <c r="C1510" s="35"/>
      <c r="D1510" s="35"/>
      <c r="E1510" s="35" t="s">
        <v>4471</v>
      </c>
      <c r="F1510" s="36">
        <v>0</v>
      </c>
      <c r="G1510" s="35" t="s">
        <v>4472</v>
      </c>
      <c r="H1510" s="35" t="s">
        <v>4474</v>
      </c>
    </row>
    <row r="1511" spans="1:8" ht="23.1" thickBot="1" x14ac:dyDescent="0.6">
      <c r="A1511" s="44"/>
      <c r="B1511" s="37"/>
      <c r="C1511" s="35"/>
      <c r="D1511" s="35"/>
      <c r="E1511" s="35" t="s">
        <v>4475</v>
      </c>
      <c r="F1511" s="36">
        <v>0</v>
      </c>
      <c r="G1511" s="35" t="s">
        <v>4476</v>
      </c>
      <c r="H1511" s="35" t="s">
        <v>4478</v>
      </c>
    </row>
    <row r="1512" spans="1:8" ht="23.1" thickBot="1" x14ac:dyDescent="0.6">
      <c r="A1512" s="44"/>
      <c r="B1512" s="37"/>
      <c r="C1512" s="35"/>
      <c r="D1512" s="35"/>
      <c r="E1512" s="35" t="s">
        <v>4479</v>
      </c>
      <c r="F1512" s="36">
        <v>0</v>
      </c>
      <c r="G1512" s="35" t="s">
        <v>4480</v>
      </c>
      <c r="H1512" s="35" t="s">
        <v>4482</v>
      </c>
    </row>
    <row r="1513" spans="1:8" ht="14.7" thickBot="1" x14ac:dyDescent="0.6">
      <c r="A1513" s="44"/>
      <c r="B1513" s="37"/>
      <c r="C1513" s="35"/>
      <c r="D1513" s="35"/>
      <c r="E1513" s="35" t="s">
        <v>4483</v>
      </c>
      <c r="F1513" s="36">
        <v>0</v>
      </c>
      <c r="G1513" s="35" t="s">
        <v>4484</v>
      </c>
      <c r="H1513" s="35" t="s">
        <v>4486</v>
      </c>
    </row>
    <row r="1514" spans="1:8" ht="23.1" thickBot="1" x14ac:dyDescent="0.6">
      <c r="A1514" s="44"/>
      <c r="B1514" s="37"/>
      <c r="C1514" s="35"/>
      <c r="D1514" s="35"/>
      <c r="E1514" s="35" t="s">
        <v>4488</v>
      </c>
      <c r="F1514" s="36">
        <v>0</v>
      </c>
      <c r="G1514" s="35" t="s">
        <v>4489</v>
      </c>
      <c r="H1514" s="35" t="s">
        <v>4487</v>
      </c>
    </row>
    <row r="1515" spans="1:8" ht="23.1" thickBot="1" x14ac:dyDescent="0.6">
      <c r="A1515" s="44"/>
      <c r="B1515" s="37"/>
      <c r="C1515" s="35"/>
      <c r="D1515" s="35"/>
      <c r="E1515" s="35" t="s">
        <v>4491</v>
      </c>
      <c r="F1515" s="36">
        <v>1</v>
      </c>
      <c r="G1515" s="35" t="s">
        <v>4492</v>
      </c>
      <c r="H1515" s="35" t="s">
        <v>4487</v>
      </c>
    </row>
    <row r="1516" spans="1:8" ht="23.1" thickBot="1" x14ac:dyDescent="0.6">
      <c r="A1516" s="44"/>
      <c r="B1516" s="37"/>
      <c r="C1516" s="35"/>
      <c r="D1516" s="35"/>
      <c r="E1516" s="35" t="s">
        <v>4494</v>
      </c>
      <c r="F1516" s="36">
        <v>2</v>
      </c>
      <c r="G1516" s="35" t="s">
        <v>4495</v>
      </c>
      <c r="H1516" s="35" t="s">
        <v>4487</v>
      </c>
    </row>
    <row r="1517" spans="1:8" ht="23.1" thickBot="1" x14ac:dyDescent="0.6">
      <c r="A1517" s="44"/>
      <c r="B1517" s="37"/>
      <c r="C1517" s="35"/>
      <c r="D1517" s="35"/>
      <c r="E1517" s="35" t="s">
        <v>4497</v>
      </c>
      <c r="F1517" s="36">
        <v>0</v>
      </c>
      <c r="G1517" s="35" t="s">
        <v>4498</v>
      </c>
      <c r="H1517" s="35" t="s">
        <v>4500</v>
      </c>
    </row>
    <row r="1518" spans="1:8" ht="14.7" thickBot="1" x14ac:dyDescent="0.6">
      <c r="A1518" s="44"/>
      <c r="B1518" s="37"/>
      <c r="C1518" s="35"/>
      <c r="D1518" s="35"/>
      <c r="E1518" s="35" t="s">
        <v>4501</v>
      </c>
      <c r="F1518" s="36">
        <v>0</v>
      </c>
      <c r="G1518" s="35" t="s">
        <v>4502</v>
      </c>
      <c r="H1518" s="35" t="s">
        <v>4504</v>
      </c>
    </row>
    <row r="1519" spans="1:8" ht="14.7" thickBot="1" x14ac:dyDescent="0.6">
      <c r="A1519" s="44"/>
      <c r="B1519" s="37"/>
      <c r="C1519" s="35"/>
      <c r="D1519" s="35"/>
      <c r="E1519" s="35" t="s">
        <v>4505</v>
      </c>
      <c r="F1519" s="36">
        <v>0</v>
      </c>
      <c r="G1519" s="35" t="s">
        <v>4506</v>
      </c>
      <c r="H1519" s="35" t="s">
        <v>4508</v>
      </c>
    </row>
    <row r="1520" spans="1:8" ht="14.7" thickBot="1" x14ac:dyDescent="0.6">
      <c r="A1520" s="44"/>
      <c r="B1520" s="37"/>
      <c r="C1520" s="35"/>
      <c r="D1520" s="35"/>
      <c r="E1520" s="35" t="s">
        <v>4509</v>
      </c>
      <c r="F1520" s="36">
        <v>0</v>
      </c>
      <c r="G1520" s="35" t="s">
        <v>4510</v>
      </c>
      <c r="H1520" s="35" t="s">
        <v>4512</v>
      </c>
    </row>
    <row r="1521" spans="1:8" ht="23.1" thickBot="1" x14ac:dyDescent="0.6">
      <c r="A1521" s="44"/>
      <c r="B1521" s="37"/>
      <c r="C1521" s="35"/>
      <c r="D1521" s="35"/>
      <c r="E1521" s="35" t="s">
        <v>4513</v>
      </c>
      <c r="F1521" s="36">
        <v>0</v>
      </c>
      <c r="G1521" s="35" t="s">
        <v>4514</v>
      </c>
      <c r="H1521" s="35" t="s">
        <v>4516</v>
      </c>
    </row>
    <row r="1522" spans="1:8" ht="23.1" thickBot="1" x14ac:dyDescent="0.6">
      <c r="A1522" s="44"/>
      <c r="B1522" s="37"/>
      <c r="C1522" s="35"/>
      <c r="D1522" s="35"/>
      <c r="E1522" s="35" t="s">
        <v>4517</v>
      </c>
      <c r="F1522" s="36">
        <v>0</v>
      </c>
      <c r="G1522" s="35" t="s">
        <v>1059</v>
      </c>
      <c r="H1522" s="35" t="s">
        <v>4519</v>
      </c>
    </row>
    <row r="1523" spans="1:8" ht="14.7" thickBot="1" x14ac:dyDescent="0.6">
      <c r="A1523" s="44"/>
      <c r="B1523" s="37"/>
      <c r="C1523" s="35"/>
      <c r="D1523" s="35"/>
      <c r="E1523" s="35" t="s">
        <v>4520</v>
      </c>
      <c r="F1523" s="36">
        <v>0</v>
      </c>
      <c r="G1523" s="35" t="s">
        <v>4521</v>
      </c>
      <c r="H1523" s="35" t="s">
        <v>4523</v>
      </c>
    </row>
    <row r="1524" spans="1:8" ht="23.1" thickBot="1" x14ac:dyDescent="0.6">
      <c r="A1524" s="44"/>
      <c r="B1524" s="37"/>
      <c r="C1524" s="35"/>
      <c r="D1524" s="35"/>
      <c r="E1524" s="35" t="s">
        <v>4524</v>
      </c>
      <c r="F1524" s="36">
        <v>0</v>
      </c>
      <c r="G1524" s="35" t="s">
        <v>4525</v>
      </c>
      <c r="H1524" s="35" t="s">
        <v>4527</v>
      </c>
    </row>
    <row r="1525" spans="1:8" ht="23.1" thickBot="1" x14ac:dyDescent="0.6">
      <c r="A1525" s="44"/>
      <c r="B1525" s="37"/>
      <c r="C1525" s="35"/>
      <c r="D1525" s="35"/>
      <c r="E1525" s="35" t="s">
        <v>4528</v>
      </c>
      <c r="F1525" s="36">
        <v>0</v>
      </c>
      <c r="G1525" s="35" t="s">
        <v>4529</v>
      </c>
      <c r="H1525" s="35" t="s">
        <v>4531</v>
      </c>
    </row>
    <row r="1526" spans="1:8" ht="23.1" thickBot="1" x14ac:dyDescent="0.6">
      <c r="A1526" s="44"/>
      <c r="B1526" s="37"/>
      <c r="C1526" s="35"/>
      <c r="D1526" s="35"/>
      <c r="E1526" s="35" t="s">
        <v>4532</v>
      </c>
      <c r="F1526" s="36">
        <v>0</v>
      </c>
      <c r="G1526" s="35" t="s">
        <v>4533</v>
      </c>
      <c r="H1526" s="35" t="s">
        <v>4535</v>
      </c>
    </row>
    <row r="1527" spans="1:8" ht="23.1" thickBot="1" x14ac:dyDescent="0.6">
      <c r="A1527" s="44"/>
      <c r="B1527" s="37"/>
      <c r="C1527" s="35"/>
      <c r="D1527" s="35"/>
      <c r="E1527" s="35" t="s">
        <v>4536</v>
      </c>
      <c r="F1527" s="36">
        <v>0</v>
      </c>
      <c r="G1527" s="35" t="s">
        <v>4537</v>
      </c>
      <c r="H1527" s="35" t="s">
        <v>4539</v>
      </c>
    </row>
    <row r="1528" spans="1:8" ht="14.7" thickBot="1" x14ac:dyDescent="0.6">
      <c r="A1528" s="44"/>
      <c r="B1528" s="37"/>
      <c r="C1528" s="35"/>
      <c r="D1528" s="35"/>
      <c r="E1528" s="35" t="s">
        <v>4540</v>
      </c>
      <c r="F1528" s="36">
        <v>0</v>
      </c>
      <c r="G1528" s="35" t="s">
        <v>4541</v>
      </c>
      <c r="H1528" s="35" t="s">
        <v>4543</v>
      </c>
    </row>
    <row r="1529" spans="1:8" ht="14.7" thickBot="1" x14ac:dyDescent="0.6">
      <c r="A1529" s="44"/>
      <c r="B1529" s="37"/>
      <c r="C1529" s="35"/>
      <c r="D1529" s="35"/>
      <c r="E1529" s="35" t="s">
        <v>4544</v>
      </c>
      <c r="F1529" s="36">
        <v>0</v>
      </c>
      <c r="G1529" s="35" t="s">
        <v>4545</v>
      </c>
      <c r="H1529" s="35" t="s">
        <v>4547</v>
      </c>
    </row>
    <row r="1530" spans="1:8" ht="14.7" thickBot="1" x14ac:dyDescent="0.6">
      <c r="A1530" s="44"/>
      <c r="B1530" s="37"/>
      <c r="C1530" s="35"/>
      <c r="D1530" s="35"/>
      <c r="E1530" s="35" t="s">
        <v>4548</v>
      </c>
      <c r="F1530" s="36">
        <v>0</v>
      </c>
      <c r="G1530" s="35" t="s">
        <v>1067</v>
      </c>
      <c r="H1530" s="35" t="s">
        <v>4550</v>
      </c>
    </row>
    <row r="1531" spans="1:8" ht="14.7" thickBot="1" x14ac:dyDescent="0.6">
      <c r="A1531" s="44"/>
      <c r="B1531" s="37"/>
      <c r="C1531" s="35"/>
      <c r="D1531" s="35"/>
      <c r="E1531" s="35" t="s">
        <v>4551</v>
      </c>
      <c r="F1531" s="36">
        <v>0</v>
      </c>
      <c r="G1531" s="35" t="s">
        <v>4552</v>
      </c>
      <c r="H1531" s="35" t="s">
        <v>4554</v>
      </c>
    </row>
    <row r="1532" spans="1:8" ht="23.1" thickBot="1" x14ac:dyDescent="0.6">
      <c r="A1532" s="44"/>
      <c r="B1532" s="37"/>
      <c r="C1532" s="35"/>
      <c r="D1532" s="35"/>
      <c r="E1532" s="35" t="s">
        <v>4555</v>
      </c>
      <c r="F1532" s="36">
        <v>0</v>
      </c>
      <c r="G1532" s="35" t="s">
        <v>4556</v>
      </c>
      <c r="H1532" s="35" t="s">
        <v>4558</v>
      </c>
    </row>
    <row r="1533" spans="1:8" ht="23.1" thickBot="1" x14ac:dyDescent="0.6">
      <c r="A1533" s="44"/>
      <c r="B1533" s="37"/>
      <c r="C1533" s="35"/>
      <c r="D1533" s="35"/>
      <c r="E1533" s="35" t="s">
        <v>4559</v>
      </c>
      <c r="F1533" s="36">
        <v>0</v>
      </c>
      <c r="G1533" s="35" t="s">
        <v>4560</v>
      </c>
      <c r="H1533" s="35" t="s">
        <v>4562</v>
      </c>
    </row>
    <row r="1534" spans="1:8" ht="23.1" thickBot="1" x14ac:dyDescent="0.6">
      <c r="A1534" s="44"/>
      <c r="B1534" s="37"/>
      <c r="C1534" s="35"/>
      <c r="D1534" s="35"/>
      <c r="E1534" s="35" t="s">
        <v>4564</v>
      </c>
      <c r="F1534" s="36">
        <v>0</v>
      </c>
      <c r="G1534" s="35" t="s">
        <v>4565</v>
      </c>
      <c r="H1534" s="35" t="s">
        <v>4563</v>
      </c>
    </row>
    <row r="1535" spans="1:8" ht="23.1" thickBot="1" x14ac:dyDescent="0.6">
      <c r="A1535" s="44"/>
      <c r="B1535" s="37"/>
      <c r="C1535" s="35"/>
      <c r="D1535" s="35"/>
      <c r="E1535" s="35" t="s">
        <v>4567</v>
      </c>
      <c r="F1535" s="36">
        <v>1</v>
      </c>
      <c r="G1535" s="35" t="s">
        <v>4568</v>
      </c>
      <c r="H1535" s="35" t="s">
        <v>4563</v>
      </c>
    </row>
    <row r="1536" spans="1:8" ht="23.1" thickBot="1" x14ac:dyDescent="0.6">
      <c r="A1536" s="44"/>
      <c r="B1536" s="37"/>
      <c r="C1536" s="35"/>
      <c r="D1536" s="35"/>
      <c r="E1536" s="35" t="s">
        <v>4570</v>
      </c>
      <c r="F1536" s="36">
        <v>2</v>
      </c>
      <c r="G1536" s="35" t="s">
        <v>4571</v>
      </c>
      <c r="H1536" s="35" t="s">
        <v>4563</v>
      </c>
    </row>
    <row r="1537" spans="1:8" ht="23.1" thickBot="1" x14ac:dyDescent="0.6">
      <c r="A1537" s="44"/>
      <c r="B1537" s="37"/>
      <c r="C1537" s="35"/>
      <c r="D1537" s="35"/>
      <c r="E1537" s="35" t="s">
        <v>4573</v>
      </c>
      <c r="F1537" s="36">
        <v>0</v>
      </c>
      <c r="G1537" s="35" t="s">
        <v>4574</v>
      </c>
      <c r="H1537" s="35" t="s">
        <v>4576</v>
      </c>
    </row>
    <row r="1538" spans="1:8" ht="23.1" thickBot="1" x14ac:dyDescent="0.6">
      <c r="A1538" s="44"/>
      <c r="B1538" s="37"/>
      <c r="C1538" s="35"/>
      <c r="D1538" s="35"/>
      <c r="E1538" s="35" t="s">
        <v>4577</v>
      </c>
      <c r="F1538" s="36">
        <v>0</v>
      </c>
      <c r="G1538" s="35" t="s">
        <v>4578</v>
      </c>
      <c r="H1538" s="35" t="s">
        <v>4580</v>
      </c>
    </row>
    <row r="1539" spans="1:8" ht="23.1" thickBot="1" x14ac:dyDescent="0.6">
      <c r="A1539" s="44"/>
      <c r="B1539" s="37"/>
      <c r="C1539" s="35"/>
      <c r="D1539" s="35"/>
      <c r="E1539" s="35" t="s">
        <v>4581</v>
      </c>
      <c r="F1539" s="36">
        <v>0</v>
      </c>
      <c r="G1539" s="35" t="s">
        <v>4582</v>
      </c>
      <c r="H1539" s="35" t="s">
        <v>4584</v>
      </c>
    </row>
    <row r="1540" spans="1:8" ht="23.1" thickBot="1" x14ac:dyDescent="0.6">
      <c r="A1540" s="44"/>
      <c r="B1540" s="37"/>
      <c r="C1540" s="35"/>
      <c r="D1540" s="35"/>
      <c r="E1540" s="35" t="s">
        <v>4586</v>
      </c>
      <c r="F1540" s="36">
        <v>0</v>
      </c>
      <c r="G1540" s="35" t="s">
        <v>4587</v>
      </c>
      <c r="H1540" s="35" t="s">
        <v>4585</v>
      </c>
    </row>
    <row r="1541" spans="1:8" ht="23.1" thickBot="1" x14ac:dyDescent="0.6">
      <c r="A1541" s="44"/>
      <c r="B1541" s="37"/>
      <c r="C1541" s="35"/>
      <c r="D1541" s="35"/>
      <c r="E1541" s="35" t="s">
        <v>4589</v>
      </c>
      <c r="F1541" s="36">
        <v>1</v>
      </c>
      <c r="G1541" s="35" t="s">
        <v>4590</v>
      </c>
      <c r="H1541" s="35" t="s">
        <v>4585</v>
      </c>
    </row>
    <row r="1542" spans="1:8" ht="23.1" thickBot="1" x14ac:dyDescent="0.6">
      <c r="A1542" s="44"/>
      <c r="B1542" s="37"/>
      <c r="C1542" s="35"/>
      <c r="D1542" s="35"/>
      <c r="E1542" s="35" t="s">
        <v>4592</v>
      </c>
      <c r="F1542" s="36">
        <v>2</v>
      </c>
      <c r="G1542" s="35" t="s">
        <v>4593</v>
      </c>
      <c r="H1542" s="35" t="s">
        <v>4585</v>
      </c>
    </row>
    <row r="1543" spans="1:8" ht="23.1" thickBot="1" x14ac:dyDescent="0.6">
      <c r="A1543" s="44"/>
      <c r="B1543" s="37"/>
      <c r="C1543" s="35"/>
      <c r="D1543" s="35"/>
      <c r="E1543" s="35" t="s">
        <v>4595</v>
      </c>
      <c r="F1543" s="36">
        <v>0</v>
      </c>
      <c r="G1543" s="35" t="s">
        <v>4596</v>
      </c>
      <c r="H1543" s="35" t="s">
        <v>4598</v>
      </c>
    </row>
    <row r="1544" spans="1:8" ht="14.7" thickBot="1" x14ac:dyDescent="0.6">
      <c r="A1544" s="44"/>
      <c r="B1544" s="37"/>
      <c r="C1544" s="35"/>
      <c r="D1544" s="35"/>
      <c r="E1544" s="35" t="s">
        <v>4599</v>
      </c>
      <c r="F1544" s="36">
        <v>0</v>
      </c>
      <c r="G1544" s="35" t="s">
        <v>4600</v>
      </c>
      <c r="H1544" s="35" t="s">
        <v>4602</v>
      </c>
    </row>
    <row r="1545" spans="1:8" ht="23.1" thickBot="1" x14ac:dyDescent="0.6">
      <c r="A1545" s="44"/>
      <c r="B1545" s="37"/>
      <c r="C1545" s="35"/>
      <c r="D1545" s="35"/>
      <c r="E1545" s="35" t="s">
        <v>4603</v>
      </c>
      <c r="F1545" s="36">
        <v>0</v>
      </c>
      <c r="G1545" s="35" t="s">
        <v>4357</v>
      </c>
      <c r="H1545" s="35" t="s">
        <v>4605</v>
      </c>
    </row>
    <row r="1546" spans="1:8" ht="23.1" thickBot="1" x14ac:dyDescent="0.6">
      <c r="A1546" s="44"/>
      <c r="B1546" s="37"/>
      <c r="C1546" s="35"/>
      <c r="D1546" s="35"/>
      <c r="E1546" s="35" t="s">
        <v>4606</v>
      </c>
      <c r="F1546" s="36">
        <v>0</v>
      </c>
      <c r="G1546" s="35" t="s">
        <v>4607</v>
      </c>
      <c r="H1546" s="35" t="s">
        <v>4609</v>
      </c>
    </row>
    <row r="1547" spans="1:8" ht="23.1" thickBot="1" x14ac:dyDescent="0.6">
      <c r="A1547" s="44"/>
      <c r="B1547" s="37"/>
      <c r="C1547" s="35"/>
      <c r="D1547" s="35"/>
      <c r="E1547" s="35" t="s">
        <v>4611</v>
      </c>
      <c r="F1547" s="36">
        <v>0</v>
      </c>
      <c r="G1547" s="35" t="s">
        <v>4612</v>
      </c>
      <c r="H1547" s="35" t="s">
        <v>4614</v>
      </c>
    </row>
    <row r="1548" spans="1:8" ht="23.1" thickBot="1" x14ac:dyDescent="0.6">
      <c r="A1548" s="44"/>
      <c r="B1548" s="37"/>
      <c r="C1548" s="35"/>
      <c r="D1548" s="35"/>
      <c r="E1548" s="35" t="s">
        <v>4616</v>
      </c>
      <c r="F1548" s="36">
        <v>0</v>
      </c>
      <c r="G1548" s="35" t="s">
        <v>4617</v>
      </c>
      <c r="H1548" s="35" t="s">
        <v>4615</v>
      </c>
    </row>
    <row r="1549" spans="1:8" ht="23.1" thickBot="1" x14ac:dyDescent="0.6">
      <c r="A1549" s="44"/>
      <c r="B1549" s="37"/>
      <c r="C1549" s="35"/>
      <c r="D1549" s="35"/>
      <c r="E1549" s="35" t="s">
        <v>4619</v>
      </c>
      <c r="F1549" s="36">
        <v>1</v>
      </c>
      <c r="G1549" s="35" t="s">
        <v>4620</v>
      </c>
      <c r="H1549" s="35" t="s">
        <v>4615</v>
      </c>
    </row>
    <row r="1550" spans="1:8" ht="23.1" thickBot="1" x14ac:dyDescent="0.6">
      <c r="A1550" s="44"/>
      <c r="B1550" s="37"/>
      <c r="C1550" s="35"/>
      <c r="D1550" s="35"/>
      <c r="E1550" s="35" t="s">
        <v>4622</v>
      </c>
      <c r="F1550" s="36">
        <v>2</v>
      </c>
      <c r="G1550" s="35" t="s">
        <v>4623</v>
      </c>
      <c r="H1550" s="35" t="s">
        <v>4615</v>
      </c>
    </row>
    <row r="1551" spans="1:8" ht="14.7" thickBot="1" x14ac:dyDescent="0.6">
      <c r="A1551" s="44"/>
      <c r="B1551" s="37"/>
      <c r="C1551" s="35"/>
      <c r="D1551" s="35"/>
      <c r="E1551" s="35" t="s">
        <v>4625</v>
      </c>
      <c r="F1551" s="36">
        <v>0</v>
      </c>
      <c r="G1551" s="35" t="s">
        <v>4626</v>
      </c>
      <c r="H1551" s="35" t="s">
        <v>4628</v>
      </c>
    </row>
    <row r="1552" spans="1:8" ht="23.1" thickBot="1" x14ac:dyDescent="0.6">
      <c r="A1552" s="44"/>
      <c r="B1552" s="37"/>
      <c r="C1552" s="35"/>
      <c r="D1552" s="35"/>
      <c r="E1552" s="35" t="s">
        <v>4629</v>
      </c>
      <c r="F1552" s="36">
        <v>0</v>
      </c>
      <c r="G1552" s="35" t="s">
        <v>4630</v>
      </c>
      <c r="H1552" s="35" t="s">
        <v>4632</v>
      </c>
    </row>
    <row r="1553" spans="1:8" ht="23.1" thickBot="1" x14ac:dyDescent="0.6">
      <c r="A1553" s="44"/>
      <c r="B1553" s="37"/>
      <c r="C1553" s="35"/>
      <c r="D1553" s="35"/>
      <c r="E1553" s="35" t="s">
        <v>4634</v>
      </c>
      <c r="F1553" s="36">
        <v>0</v>
      </c>
      <c r="G1553" s="35" t="s">
        <v>4635</v>
      </c>
      <c r="H1553" s="35" t="s">
        <v>4633</v>
      </c>
    </row>
    <row r="1554" spans="1:8" ht="23.1" thickBot="1" x14ac:dyDescent="0.6">
      <c r="A1554" s="44"/>
      <c r="B1554" s="37"/>
      <c r="C1554" s="35"/>
      <c r="D1554" s="35"/>
      <c r="E1554" s="35" t="s">
        <v>4637</v>
      </c>
      <c r="F1554" s="36">
        <v>1</v>
      </c>
      <c r="G1554" s="35" t="s">
        <v>4638</v>
      </c>
      <c r="H1554" s="35" t="s">
        <v>4633</v>
      </c>
    </row>
    <row r="1555" spans="1:8" ht="23.1" thickBot="1" x14ac:dyDescent="0.6">
      <c r="A1555" s="44"/>
      <c r="B1555" s="37"/>
      <c r="C1555" s="35"/>
      <c r="D1555" s="35"/>
      <c r="E1555" s="35" t="s">
        <v>4640</v>
      </c>
      <c r="F1555" s="36">
        <v>2</v>
      </c>
      <c r="G1555" s="35" t="s">
        <v>4641</v>
      </c>
      <c r="H1555" s="35" t="s">
        <v>4633</v>
      </c>
    </row>
    <row r="1556" spans="1:8" ht="23.1" thickBot="1" x14ac:dyDescent="0.6">
      <c r="A1556" s="44"/>
      <c r="B1556" s="37"/>
      <c r="C1556" s="35"/>
      <c r="D1556" s="35"/>
      <c r="E1556" s="35" t="s">
        <v>4643</v>
      </c>
      <c r="F1556" s="36">
        <v>0</v>
      </c>
      <c r="G1556" s="35" t="s">
        <v>4644</v>
      </c>
      <c r="H1556" s="35" t="s">
        <v>4646</v>
      </c>
    </row>
    <row r="1557" spans="1:8" ht="23.1" thickBot="1" x14ac:dyDescent="0.6">
      <c r="A1557" s="44"/>
      <c r="B1557" s="37"/>
      <c r="C1557" s="35"/>
      <c r="D1557" s="35"/>
      <c r="E1557" s="35" t="s">
        <v>4647</v>
      </c>
      <c r="F1557" s="36">
        <v>0</v>
      </c>
      <c r="G1557" s="35" t="s">
        <v>4648</v>
      </c>
      <c r="H1557" s="35" t="s">
        <v>4650</v>
      </c>
    </row>
    <row r="1558" spans="1:8" ht="23.1" thickBot="1" x14ac:dyDescent="0.6">
      <c r="A1558" s="44"/>
      <c r="B1558" s="37"/>
      <c r="C1558" s="35"/>
      <c r="D1558" s="35"/>
      <c r="E1558" s="35" t="s">
        <v>4651</v>
      </c>
      <c r="F1558" s="36">
        <v>0</v>
      </c>
      <c r="G1558" s="35" t="s">
        <v>4652</v>
      </c>
      <c r="H1558" s="35" t="s">
        <v>4654</v>
      </c>
    </row>
    <row r="1559" spans="1:8" ht="14.7" thickBot="1" x14ac:dyDescent="0.6">
      <c r="A1559" s="44"/>
      <c r="B1559" s="37"/>
      <c r="C1559" s="35"/>
      <c r="D1559" s="35"/>
      <c r="E1559" s="35" t="s">
        <v>4655</v>
      </c>
      <c r="F1559" s="36">
        <v>0</v>
      </c>
      <c r="G1559" s="35" t="s">
        <v>4610</v>
      </c>
      <c r="H1559" s="35" t="s">
        <v>4657</v>
      </c>
    </row>
    <row r="1560" spans="1:8" ht="23.1" thickBot="1" x14ac:dyDescent="0.6">
      <c r="A1560" s="44"/>
      <c r="B1560" s="37"/>
      <c r="C1560" s="35"/>
      <c r="D1560" s="35"/>
      <c r="E1560" s="35" t="s">
        <v>4659</v>
      </c>
      <c r="F1560" s="36">
        <v>0</v>
      </c>
      <c r="G1560" s="35" t="s">
        <v>4660</v>
      </c>
      <c r="H1560" s="35" t="s">
        <v>4658</v>
      </c>
    </row>
    <row r="1561" spans="1:8" ht="23.1" thickBot="1" x14ac:dyDescent="0.6">
      <c r="A1561" s="44"/>
      <c r="B1561" s="37"/>
      <c r="C1561" s="35"/>
      <c r="D1561" s="35"/>
      <c r="E1561" s="35" t="s">
        <v>4662</v>
      </c>
      <c r="F1561" s="36">
        <v>1</v>
      </c>
      <c r="G1561" s="35" t="s">
        <v>4663</v>
      </c>
      <c r="H1561" s="35" t="s">
        <v>4658</v>
      </c>
    </row>
    <row r="1562" spans="1:8" ht="23.1" thickBot="1" x14ac:dyDescent="0.6">
      <c r="A1562" s="44"/>
      <c r="B1562" s="37"/>
      <c r="C1562" s="35"/>
      <c r="D1562" s="35"/>
      <c r="E1562" s="35" t="s">
        <v>4665</v>
      </c>
      <c r="F1562" s="36">
        <v>2</v>
      </c>
      <c r="G1562" s="35" t="s">
        <v>4666</v>
      </c>
      <c r="H1562" s="35" t="s">
        <v>4658</v>
      </c>
    </row>
    <row r="1563" spans="1:8" ht="23.1" thickBot="1" x14ac:dyDescent="0.6">
      <c r="A1563" s="44"/>
      <c r="B1563" s="37"/>
      <c r="C1563" s="35"/>
      <c r="D1563" s="35"/>
      <c r="E1563" s="35" t="s">
        <v>4668</v>
      </c>
      <c r="F1563" s="36">
        <v>0</v>
      </c>
      <c r="G1563" s="35" t="s">
        <v>4669</v>
      </c>
      <c r="H1563" s="35" t="s">
        <v>4671</v>
      </c>
    </row>
    <row r="1564" spans="1:8" ht="14.7" thickBot="1" x14ac:dyDescent="0.6">
      <c r="A1564" s="44"/>
      <c r="B1564" s="37"/>
      <c r="C1564" s="35"/>
      <c r="D1564" s="35"/>
      <c r="E1564" s="35" t="s">
        <v>4673</v>
      </c>
      <c r="F1564" s="36">
        <v>0</v>
      </c>
      <c r="G1564" s="35" t="s">
        <v>4674</v>
      </c>
      <c r="H1564" s="35" t="s">
        <v>4672</v>
      </c>
    </row>
    <row r="1565" spans="1:8" ht="14.7" thickBot="1" x14ac:dyDescent="0.6">
      <c r="A1565" s="44"/>
      <c r="B1565" s="37"/>
      <c r="C1565" s="35"/>
      <c r="D1565" s="35"/>
      <c r="E1565" s="35" t="s">
        <v>4676</v>
      </c>
      <c r="F1565" s="36">
        <v>1</v>
      </c>
      <c r="G1565" s="35" t="s">
        <v>4677</v>
      </c>
      <c r="H1565" s="35" t="s">
        <v>4672</v>
      </c>
    </row>
    <row r="1566" spans="1:8" ht="14.7" thickBot="1" x14ac:dyDescent="0.6">
      <c r="A1566" s="44"/>
      <c r="B1566" s="37"/>
      <c r="C1566" s="35"/>
      <c r="D1566" s="35"/>
      <c r="E1566" s="35" t="s">
        <v>4679</v>
      </c>
      <c r="F1566" s="36">
        <v>2</v>
      </c>
      <c r="G1566" s="35" t="s">
        <v>4680</v>
      </c>
      <c r="H1566" s="35" t="s">
        <v>4672</v>
      </c>
    </row>
    <row r="1567" spans="1:8" ht="23.1" thickBot="1" x14ac:dyDescent="0.6">
      <c r="A1567" s="44"/>
      <c r="B1567" s="37"/>
      <c r="C1567" s="35"/>
      <c r="D1567" s="35"/>
      <c r="E1567" s="35" t="s">
        <v>4682</v>
      </c>
      <c r="F1567" s="36">
        <v>0</v>
      </c>
      <c r="G1567" s="35" t="s">
        <v>4683</v>
      </c>
      <c r="H1567" s="35" t="s">
        <v>4685</v>
      </c>
    </row>
    <row r="1568" spans="1:8" ht="23.1" thickBot="1" x14ac:dyDescent="0.6">
      <c r="A1568" s="44"/>
      <c r="B1568" s="37"/>
      <c r="C1568" s="35"/>
      <c r="D1568" s="35"/>
      <c r="E1568" s="35" t="s">
        <v>4686</v>
      </c>
      <c r="F1568" s="36">
        <v>0</v>
      </c>
      <c r="G1568" s="35" t="s">
        <v>4687</v>
      </c>
      <c r="H1568" s="35" t="s">
        <v>4689</v>
      </c>
    </row>
    <row r="1569" spans="1:8" ht="23.1" thickBot="1" x14ac:dyDescent="0.6">
      <c r="A1569" s="44"/>
      <c r="B1569" s="37"/>
      <c r="C1569" s="35"/>
      <c r="D1569" s="35"/>
      <c r="E1569" s="35" t="s">
        <v>4690</v>
      </c>
      <c r="F1569" s="36">
        <v>0</v>
      </c>
      <c r="G1569" s="35" t="s">
        <v>4691</v>
      </c>
      <c r="H1569" s="35" t="s">
        <v>4693</v>
      </c>
    </row>
    <row r="1570" spans="1:8" ht="34.5" thickBot="1" x14ac:dyDescent="0.6">
      <c r="A1570" s="44"/>
      <c r="B1570" s="37"/>
      <c r="C1570" s="35"/>
      <c r="D1570" s="35"/>
      <c r="E1570" s="35" t="s">
        <v>4694</v>
      </c>
      <c r="F1570" s="36">
        <v>0</v>
      </c>
      <c r="G1570" s="35" t="s">
        <v>4695</v>
      </c>
      <c r="H1570" s="35" t="s">
        <v>4697</v>
      </c>
    </row>
    <row r="1571" spans="1:8" ht="23.1" thickBot="1" x14ac:dyDescent="0.6">
      <c r="A1571" s="44"/>
      <c r="B1571" s="37"/>
      <c r="C1571" s="35"/>
      <c r="D1571" s="35"/>
      <c r="E1571" s="35" t="s">
        <v>4698</v>
      </c>
      <c r="F1571" s="36">
        <v>0</v>
      </c>
      <c r="G1571" s="35" t="s">
        <v>4699</v>
      </c>
      <c r="H1571" s="35" t="s">
        <v>4701</v>
      </c>
    </row>
    <row r="1572" spans="1:8" ht="34.5" thickBot="1" x14ac:dyDescent="0.6">
      <c r="A1572" s="44"/>
      <c r="B1572" s="37"/>
      <c r="C1572" s="35"/>
      <c r="D1572" s="35"/>
      <c r="E1572" s="35" t="s">
        <v>4702</v>
      </c>
      <c r="F1572" s="36">
        <v>0</v>
      </c>
      <c r="G1572" s="35" t="s">
        <v>4703</v>
      </c>
      <c r="H1572" s="35" t="s">
        <v>4705</v>
      </c>
    </row>
    <row r="1573" spans="1:8" ht="23.1" thickBot="1" x14ac:dyDescent="0.6">
      <c r="A1573" s="44"/>
      <c r="B1573" s="37"/>
      <c r="C1573" s="35"/>
      <c r="D1573" s="35"/>
      <c r="E1573" s="35" t="s">
        <v>4706</v>
      </c>
      <c r="F1573" s="36">
        <v>0</v>
      </c>
      <c r="G1573" s="35" t="s">
        <v>4596</v>
      </c>
      <c r="H1573" s="35" t="s">
        <v>4708</v>
      </c>
    </row>
    <row r="1574" spans="1:8" ht="23.1" thickBot="1" x14ac:dyDescent="0.6">
      <c r="A1574" s="44"/>
      <c r="B1574" s="37"/>
      <c r="C1574" s="35"/>
      <c r="D1574" s="35"/>
      <c r="E1574" s="35" t="s">
        <v>4709</v>
      </c>
      <c r="F1574" s="36">
        <v>0</v>
      </c>
      <c r="G1574" s="35" t="s">
        <v>4710</v>
      </c>
      <c r="H1574" s="35" t="s">
        <v>4712</v>
      </c>
    </row>
    <row r="1575" spans="1:8" ht="23.1" thickBot="1" x14ac:dyDescent="0.6">
      <c r="A1575" s="44"/>
      <c r="B1575" s="37"/>
      <c r="C1575" s="35"/>
      <c r="D1575" s="35"/>
      <c r="E1575" s="35" t="s">
        <v>4713</v>
      </c>
      <c r="F1575" s="36">
        <v>0</v>
      </c>
      <c r="G1575" s="35" t="s">
        <v>4714</v>
      </c>
      <c r="H1575" s="35" t="s">
        <v>4716</v>
      </c>
    </row>
    <row r="1576" spans="1:8" ht="23.1" thickBot="1" x14ac:dyDescent="0.6">
      <c r="A1576" s="44"/>
      <c r="B1576" s="37"/>
      <c r="C1576" s="35"/>
      <c r="D1576" s="35"/>
      <c r="E1576" s="35" t="s">
        <v>4717</v>
      </c>
      <c r="F1576" s="36">
        <v>0</v>
      </c>
      <c r="G1576" s="35" t="s">
        <v>4718</v>
      </c>
      <c r="H1576" s="35" t="s">
        <v>4720</v>
      </c>
    </row>
    <row r="1577" spans="1:8" ht="34.5" thickBot="1" x14ac:dyDescent="0.6">
      <c r="A1577" s="44"/>
      <c r="B1577" s="37"/>
      <c r="C1577" s="35"/>
      <c r="D1577" s="35"/>
      <c r="E1577" s="35" t="s">
        <v>4721</v>
      </c>
      <c r="F1577" s="36">
        <v>0</v>
      </c>
      <c r="G1577" s="35" t="s">
        <v>4722</v>
      </c>
      <c r="H1577" s="35" t="s">
        <v>4724</v>
      </c>
    </row>
    <row r="1578" spans="1:8" ht="23.1" thickBot="1" x14ac:dyDescent="0.6">
      <c r="A1578" s="44"/>
      <c r="B1578" s="37"/>
      <c r="C1578" s="35"/>
      <c r="D1578" s="35"/>
      <c r="E1578" s="35" t="s">
        <v>4725</v>
      </c>
      <c r="F1578" s="36">
        <v>0</v>
      </c>
      <c r="G1578" s="35" t="s">
        <v>4529</v>
      </c>
      <c r="H1578" s="35" t="s">
        <v>4727</v>
      </c>
    </row>
    <row r="1579" spans="1:8" ht="23.1" thickBot="1" x14ac:dyDescent="0.6">
      <c r="A1579" s="44"/>
      <c r="B1579" s="37"/>
      <c r="C1579" s="35"/>
      <c r="D1579" s="35"/>
      <c r="E1579" s="35" t="s">
        <v>4728</v>
      </c>
      <c r="F1579" s="36">
        <v>0</v>
      </c>
      <c r="G1579" s="35" t="s">
        <v>4729</v>
      </c>
      <c r="H1579" s="35" t="s">
        <v>4731</v>
      </c>
    </row>
    <row r="1580" spans="1:8" ht="34.5" thickBot="1" x14ac:dyDescent="0.6">
      <c r="A1580" s="44"/>
      <c r="B1580" s="37"/>
      <c r="C1580" s="35"/>
      <c r="D1580" s="35"/>
      <c r="E1580" s="35" t="s">
        <v>4732</v>
      </c>
      <c r="F1580" s="36">
        <v>0</v>
      </c>
      <c r="G1580" s="35" t="s">
        <v>4733</v>
      </c>
      <c r="H1580" s="35" t="s">
        <v>4735</v>
      </c>
    </row>
    <row r="1581" spans="1:8" ht="23.1" thickBot="1" x14ac:dyDescent="0.6">
      <c r="A1581" s="44"/>
      <c r="B1581" s="37"/>
      <c r="C1581" s="35"/>
      <c r="D1581" s="35"/>
      <c r="E1581" s="35" t="s">
        <v>4736</v>
      </c>
      <c r="F1581" s="36">
        <v>0</v>
      </c>
      <c r="G1581" s="35" t="s">
        <v>4737</v>
      </c>
      <c r="H1581" s="35" t="s">
        <v>4739</v>
      </c>
    </row>
    <row r="1582" spans="1:8" ht="23.1" thickBot="1" x14ac:dyDescent="0.6">
      <c r="A1582" s="44"/>
      <c r="B1582" s="37"/>
      <c r="C1582" s="35"/>
      <c r="D1582" s="35"/>
      <c r="E1582" s="35" t="s">
        <v>4740</v>
      </c>
      <c r="F1582" s="36">
        <v>0</v>
      </c>
      <c r="G1582" s="35" t="s">
        <v>4537</v>
      </c>
      <c r="H1582" s="35" t="s">
        <v>4742</v>
      </c>
    </row>
    <row r="1583" spans="1:8" ht="23.1" thickBot="1" x14ac:dyDescent="0.6">
      <c r="A1583" s="44"/>
      <c r="B1583" s="37"/>
      <c r="C1583" s="35"/>
      <c r="D1583" s="35"/>
      <c r="E1583" s="35" t="s">
        <v>4743</v>
      </c>
      <c r="F1583" s="36">
        <v>0</v>
      </c>
      <c r="G1583" s="35" t="s">
        <v>4744</v>
      </c>
      <c r="H1583" s="35" t="s">
        <v>4746</v>
      </c>
    </row>
    <row r="1584" spans="1:8" ht="23.1" thickBot="1" x14ac:dyDescent="0.6">
      <c r="A1584" s="44"/>
      <c r="B1584" s="37"/>
      <c r="C1584" s="35"/>
      <c r="D1584" s="35"/>
      <c r="E1584" s="35" t="s">
        <v>4747</v>
      </c>
      <c r="F1584" s="36">
        <v>0</v>
      </c>
      <c r="G1584" s="35" t="s">
        <v>4607</v>
      </c>
      <c r="H1584" s="35" t="s">
        <v>4749</v>
      </c>
    </row>
    <row r="1585" spans="1:8" ht="23.1" thickBot="1" x14ac:dyDescent="0.6">
      <c r="A1585" s="44"/>
      <c r="B1585" s="37"/>
      <c r="C1585" s="35"/>
      <c r="D1585" s="35"/>
      <c r="E1585" s="35" t="s">
        <v>4750</v>
      </c>
      <c r="F1585" s="36">
        <v>0</v>
      </c>
      <c r="G1585" s="35" t="s">
        <v>1566</v>
      </c>
      <c r="H1585" s="35" t="s">
        <v>4752</v>
      </c>
    </row>
    <row r="1586" spans="1:8" ht="34.5" thickBot="1" x14ac:dyDescent="0.6">
      <c r="A1586" s="44"/>
      <c r="B1586" s="37"/>
      <c r="C1586" s="35"/>
      <c r="D1586" s="35"/>
      <c r="E1586" s="35" t="s">
        <v>4753</v>
      </c>
      <c r="F1586" s="36">
        <v>0</v>
      </c>
      <c r="G1586" s="35" t="s">
        <v>4754</v>
      </c>
      <c r="H1586" s="35" t="s">
        <v>4756</v>
      </c>
    </row>
    <row r="1587" spans="1:8" ht="23.1" thickBot="1" x14ac:dyDescent="0.6">
      <c r="A1587" s="44"/>
      <c r="B1587" s="37"/>
      <c r="C1587" s="35"/>
      <c r="D1587" s="35"/>
      <c r="E1587" s="35" t="s">
        <v>4757</v>
      </c>
      <c r="F1587" s="36">
        <v>0</v>
      </c>
      <c r="G1587" s="35" t="s">
        <v>4758</v>
      </c>
      <c r="H1587" s="35" t="s">
        <v>4760</v>
      </c>
    </row>
    <row r="1588" spans="1:8" ht="23.1" thickBot="1" x14ac:dyDescent="0.6">
      <c r="A1588" s="44"/>
      <c r="B1588" s="37"/>
      <c r="C1588" s="35"/>
      <c r="D1588" s="35"/>
      <c r="E1588" s="35" t="s">
        <v>4761</v>
      </c>
      <c r="F1588" s="36">
        <v>0</v>
      </c>
      <c r="G1588" s="35" t="s">
        <v>4762</v>
      </c>
      <c r="H1588" s="35" t="s">
        <v>4764</v>
      </c>
    </row>
    <row r="1589" spans="1:8" ht="23.1" thickBot="1" x14ac:dyDescent="0.6">
      <c r="A1589" s="44"/>
      <c r="B1589" s="37"/>
      <c r="C1589" s="35"/>
      <c r="D1589" s="35"/>
      <c r="E1589" s="35" t="s">
        <v>4765</v>
      </c>
      <c r="F1589" s="36">
        <v>0</v>
      </c>
      <c r="G1589" s="35" t="s">
        <v>4766</v>
      </c>
      <c r="H1589" s="35" t="s">
        <v>4768</v>
      </c>
    </row>
    <row r="1590" spans="1:8" ht="34.5" thickBot="1" x14ac:dyDescent="0.6">
      <c r="A1590" s="44"/>
      <c r="B1590" s="37"/>
      <c r="C1590" s="35"/>
      <c r="D1590" s="35"/>
      <c r="E1590" s="35" t="s">
        <v>4769</v>
      </c>
      <c r="F1590" s="36">
        <v>0</v>
      </c>
      <c r="G1590" s="35" t="s">
        <v>4770</v>
      </c>
      <c r="H1590" s="35" t="s">
        <v>4772</v>
      </c>
    </row>
    <row r="1591" spans="1:8" ht="34.5" thickBot="1" x14ac:dyDescent="0.6">
      <c r="A1591" s="44"/>
      <c r="B1591" s="37"/>
      <c r="C1591" s="35"/>
      <c r="D1591" s="35"/>
      <c r="E1591" s="35" t="s">
        <v>4773</v>
      </c>
      <c r="F1591" s="36">
        <v>0</v>
      </c>
      <c r="G1591" s="35" t="s">
        <v>4774</v>
      </c>
      <c r="H1591" s="35" t="s">
        <v>4776</v>
      </c>
    </row>
    <row r="1592" spans="1:8" ht="23.1" thickBot="1" x14ac:dyDescent="0.6">
      <c r="A1592" s="44"/>
      <c r="B1592" s="37"/>
      <c r="C1592" s="35"/>
      <c r="D1592" s="35"/>
      <c r="E1592" s="35" t="s">
        <v>4777</v>
      </c>
      <c r="F1592" s="36">
        <v>0</v>
      </c>
      <c r="G1592" s="35" t="s">
        <v>4778</v>
      </c>
      <c r="H1592" s="35" t="s">
        <v>4780</v>
      </c>
    </row>
    <row r="1593" spans="1:8" ht="23.1" thickBot="1" x14ac:dyDescent="0.6">
      <c r="A1593" s="44"/>
      <c r="B1593" s="37"/>
      <c r="C1593" s="35"/>
      <c r="D1593" s="35"/>
      <c r="E1593" s="35" t="s">
        <v>4781</v>
      </c>
      <c r="F1593" s="36">
        <v>0</v>
      </c>
      <c r="G1593" s="35" t="s">
        <v>1191</v>
      </c>
      <c r="H1593" s="35" t="s">
        <v>4783</v>
      </c>
    </row>
    <row r="1594" spans="1:8" ht="23.1" thickBot="1" x14ac:dyDescent="0.6">
      <c r="A1594" s="44"/>
      <c r="B1594" s="37"/>
      <c r="C1594" s="35"/>
      <c r="D1594" s="35"/>
      <c r="E1594" s="35" t="s">
        <v>4784</v>
      </c>
      <c r="F1594" s="36">
        <v>0</v>
      </c>
      <c r="G1594" s="35" t="s">
        <v>4785</v>
      </c>
      <c r="H1594" s="35" t="s">
        <v>4787</v>
      </c>
    </row>
    <row r="1595" spans="1:8" ht="23.1" thickBot="1" x14ac:dyDescent="0.6">
      <c r="A1595" s="44"/>
      <c r="B1595" s="37"/>
      <c r="C1595" s="35"/>
      <c r="D1595" s="35"/>
      <c r="E1595" s="35" t="s">
        <v>4788</v>
      </c>
      <c r="F1595" s="36">
        <v>0</v>
      </c>
      <c r="G1595" s="35" t="s">
        <v>1967</v>
      </c>
      <c r="H1595" s="35" t="s">
        <v>4790</v>
      </c>
    </row>
    <row r="1596" spans="1:8" ht="23.1" thickBot="1" x14ac:dyDescent="0.6">
      <c r="A1596" s="44"/>
      <c r="B1596" s="37"/>
      <c r="C1596" s="35"/>
      <c r="D1596" s="35"/>
      <c r="E1596" s="35" t="s">
        <v>4791</v>
      </c>
      <c r="F1596" s="36">
        <v>0</v>
      </c>
      <c r="G1596" s="35" t="s">
        <v>4792</v>
      </c>
      <c r="H1596" s="35" t="s">
        <v>4794</v>
      </c>
    </row>
    <row r="1597" spans="1:8" ht="23.1" thickBot="1" x14ac:dyDescent="0.6">
      <c r="A1597" s="44"/>
      <c r="B1597" s="37"/>
      <c r="C1597" s="35"/>
      <c r="D1597" s="35"/>
      <c r="E1597" s="35" t="s">
        <v>4795</v>
      </c>
      <c r="F1597" s="36">
        <v>0</v>
      </c>
      <c r="G1597" s="35" t="s">
        <v>2716</v>
      </c>
      <c r="H1597" s="35" t="s">
        <v>4797</v>
      </c>
    </row>
    <row r="1598" spans="1:8" ht="34.5" thickBot="1" x14ac:dyDescent="0.6">
      <c r="A1598" s="44"/>
      <c r="B1598" s="37"/>
      <c r="C1598" s="35"/>
      <c r="D1598" s="35"/>
      <c r="E1598" s="35" t="s">
        <v>4798</v>
      </c>
      <c r="F1598" s="36">
        <v>0</v>
      </c>
      <c r="G1598" s="35" t="s">
        <v>2402</v>
      </c>
      <c r="H1598" s="35" t="s">
        <v>4800</v>
      </c>
    </row>
    <row r="1599" spans="1:8" ht="34.5" thickBot="1" x14ac:dyDescent="0.6">
      <c r="A1599" s="44"/>
      <c r="B1599" s="37"/>
      <c r="C1599" s="35"/>
      <c r="D1599" s="35"/>
      <c r="E1599" s="35" t="s">
        <v>4801</v>
      </c>
      <c r="F1599" s="36">
        <v>0</v>
      </c>
      <c r="G1599" s="35" t="s">
        <v>4802</v>
      </c>
      <c r="H1599" s="35" t="s">
        <v>4804</v>
      </c>
    </row>
    <row r="1600" spans="1:8" ht="23.1" thickBot="1" x14ac:dyDescent="0.6">
      <c r="A1600" s="44"/>
      <c r="B1600" s="37"/>
      <c r="C1600" s="35"/>
      <c r="D1600" s="35"/>
      <c r="E1600" s="35" t="s">
        <v>4805</v>
      </c>
      <c r="F1600" s="36">
        <v>0</v>
      </c>
      <c r="G1600" s="35" t="s">
        <v>4806</v>
      </c>
      <c r="H1600" s="35" t="s">
        <v>4808</v>
      </c>
    </row>
    <row r="1601" spans="1:8" ht="23.1" thickBot="1" x14ac:dyDescent="0.6">
      <c r="A1601" s="44"/>
      <c r="B1601" s="37"/>
      <c r="C1601" s="35"/>
      <c r="D1601" s="35"/>
      <c r="E1601" s="35" t="s">
        <v>4809</v>
      </c>
      <c r="F1601" s="36">
        <v>0</v>
      </c>
      <c r="G1601" s="35" t="s">
        <v>4810</v>
      </c>
      <c r="H1601" s="35" t="s">
        <v>4812</v>
      </c>
    </row>
    <row r="1602" spans="1:8" ht="23.1" thickBot="1" x14ac:dyDescent="0.6">
      <c r="A1602" s="44"/>
      <c r="B1602" s="37"/>
      <c r="C1602" s="35"/>
      <c r="D1602" s="35"/>
      <c r="E1602" s="35" t="s">
        <v>4813</v>
      </c>
      <c r="F1602" s="36">
        <v>0</v>
      </c>
      <c r="G1602" s="35" t="s">
        <v>2011</v>
      </c>
      <c r="H1602" s="35" t="s">
        <v>4815</v>
      </c>
    </row>
    <row r="1603" spans="1:8" ht="23.1" thickBot="1" x14ac:dyDescent="0.6">
      <c r="A1603" s="44"/>
      <c r="B1603" s="37"/>
      <c r="C1603" s="35"/>
      <c r="D1603" s="35"/>
      <c r="E1603" s="35" t="s">
        <v>4816</v>
      </c>
      <c r="F1603" s="36">
        <v>0</v>
      </c>
      <c r="G1603" s="35" t="s">
        <v>4817</v>
      </c>
      <c r="H1603" s="35" t="s">
        <v>4819</v>
      </c>
    </row>
    <row r="1604" spans="1:8" ht="23.1" thickBot="1" x14ac:dyDescent="0.6">
      <c r="A1604" s="44"/>
      <c r="B1604" s="37"/>
      <c r="C1604" s="35"/>
      <c r="D1604" s="35"/>
      <c r="E1604" s="35" t="s">
        <v>4820</v>
      </c>
      <c r="F1604" s="36">
        <v>0</v>
      </c>
      <c r="G1604" s="35" t="s">
        <v>4821</v>
      </c>
      <c r="H1604" s="35" t="s">
        <v>4823</v>
      </c>
    </row>
    <row r="1605" spans="1:8" ht="23.1" thickBot="1" x14ac:dyDescent="0.6">
      <c r="A1605" s="44"/>
      <c r="B1605" s="37"/>
      <c r="C1605" s="35"/>
      <c r="D1605" s="35"/>
      <c r="E1605" s="35" t="s">
        <v>4824</v>
      </c>
      <c r="F1605" s="36">
        <v>0</v>
      </c>
      <c r="G1605" s="35" t="s">
        <v>4825</v>
      </c>
      <c r="H1605" s="35" t="s">
        <v>4827</v>
      </c>
    </row>
    <row r="1606" spans="1:8" ht="23.1" thickBot="1" x14ac:dyDescent="0.6">
      <c r="A1606" s="44"/>
      <c r="B1606" s="37"/>
      <c r="C1606" s="35"/>
      <c r="D1606" s="35"/>
      <c r="E1606" s="35" t="s">
        <v>4828</v>
      </c>
      <c r="F1606" s="36">
        <v>0</v>
      </c>
      <c r="G1606" s="35" t="s">
        <v>4829</v>
      </c>
      <c r="H1606" s="35" t="s">
        <v>4831</v>
      </c>
    </row>
    <row r="1607" spans="1:8" ht="23.1" thickBot="1" x14ac:dyDescent="0.6">
      <c r="A1607" s="44"/>
      <c r="B1607" s="37"/>
      <c r="C1607" s="35"/>
      <c r="D1607" s="35"/>
      <c r="E1607" s="35" t="s">
        <v>4832</v>
      </c>
      <c r="F1607" s="36">
        <v>0</v>
      </c>
      <c r="G1607" s="35" t="s">
        <v>4833</v>
      </c>
      <c r="H1607" s="35" t="s">
        <v>4835</v>
      </c>
    </row>
    <row r="1608" spans="1:8" ht="23.1" thickBot="1" x14ac:dyDescent="0.6">
      <c r="A1608" s="44"/>
      <c r="B1608" s="37"/>
      <c r="C1608" s="35"/>
      <c r="D1608" s="35"/>
      <c r="E1608" s="35" t="s">
        <v>4836</v>
      </c>
      <c r="F1608" s="36">
        <v>0</v>
      </c>
      <c r="G1608" s="35" t="s">
        <v>4837</v>
      </c>
      <c r="H1608" s="35" t="s">
        <v>4839</v>
      </c>
    </row>
    <row r="1609" spans="1:8" ht="23.1" thickBot="1" x14ac:dyDescent="0.6">
      <c r="A1609" s="44"/>
      <c r="B1609" s="37"/>
      <c r="C1609" s="35"/>
      <c r="D1609" s="35"/>
      <c r="E1609" s="35" t="s">
        <v>4840</v>
      </c>
      <c r="F1609" s="36">
        <v>0</v>
      </c>
      <c r="G1609" s="35" t="s">
        <v>4841</v>
      </c>
      <c r="H1609" s="35" t="s">
        <v>4843</v>
      </c>
    </row>
    <row r="1610" spans="1:8" ht="23.1" thickBot="1" x14ac:dyDescent="0.6">
      <c r="A1610" s="44"/>
      <c r="B1610" s="37"/>
      <c r="C1610" s="35"/>
      <c r="D1610" s="35"/>
      <c r="E1610" s="35" t="s">
        <v>4844</v>
      </c>
      <c r="F1610" s="36">
        <v>0</v>
      </c>
      <c r="G1610" s="35" t="s">
        <v>4845</v>
      </c>
      <c r="H1610" s="35" t="s">
        <v>4847</v>
      </c>
    </row>
    <row r="1611" spans="1:8" ht="23.1" thickBot="1" x14ac:dyDescent="0.6">
      <c r="A1611" s="44"/>
      <c r="B1611" s="37"/>
      <c r="C1611" s="35"/>
      <c r="D1611" s="35"/>
      <c r="E1611" s="35" t="s">
        <v>4848</v>
      </c>
      <c r="F1611" s="36">
        <v>0</v>
      </c>
      <c r="G1611" s="35" t="s">
        <v>4849</v>
      </c>
      <c r="H1611" s="35" t="s">
        <v>4851</v>
      </c>
    </row>
    <row r="1612" spans="1:8" ht="23.1" thickBot="1" x14ac:dyDescent="0.6">
      <c r="A1612" s="44"/>
      <c r="B1612" s="37"/>
      <c r="C1612" s="35"/>
      <c r="D1612" s="35"/>
      <c r="E1612" s="35" t="s">
        <v>4852</v>
      </c>
      <c r="F1612" s="36">
        <v>0</v>
      </c>
      <c r="G1612" s="35" t="s">
        <v>1847</v>
      </c>
      <c r="H1612" s="35" t="s">
        <v>4854</v>
      </c>
    </row>
    <row r="1613" spans="1:8" ht="23.1" thickBot="1" x14ac:dyDescent="0.6">
      <c r="A1613" s="44"/>
      <c r="B1613" s="37"/>
      <c r="C1613" s="35"/>
      <c r="D1613" s="35"/>
      <c r="E1613" s="35" t="s">
        <v>4855</v>
      </c>
      <c r="F1613" s="36">
        <v>0</v>
      </c>
      <c r="G1613" s="35" t="s">
        <v>4856</v>
      </c>
      <c r="H1613" s="35" t="s">
        <v>4858</v>
      </c>
    </row>
    <row r="1614" spans="1:8" ht="23.1" thickBot="1" x14ac:dyDescent="0.6">
      <c r="A1614" s="44"/>
      <c r="B1614" s="37"/>
      <c r="C1614" s="35"/>
      <c r="D1614" s="35"/>
      <c r="E1614" s="35" t="s">
        <v>4859</v>
      </c>
      <c r="F1614" s="36">
        <v>0</v>
      </c>
      <c r="G1614" s="35" t="s">
        <v>4860</v>
      </c>
      <c r="H1614" s="35" t="s">
        <v>4862</v>
      </c>
    </row>
    <row r="1615" spans="1:8" ht="23.1" thickBot="1" x14ac:dyDescent="0.6">
      <c r="A1615" s="44"/>
      <c r="B1615" s="37"/>
      <c r="C1615" s="35"/>
      <c r="D1615" s="35"/>
      <c r="E1615" s="35" t="s">
        <v>4863</v>
      </c>
      <c r="F1615" s="36">
        <v>0</v>
      </c>
      <c r="G1615" s="35" t="s">
        <v>4864</v>
      </c>
      <c r="H1615" s="35" t="s">
        <v>4866</v>
      </c>
    </row>
    <row r="1616" spans="1:8" ht="23.1" thickBot="1" x14ac:dyDescent="0.6">
      <c r="A1616" s="44"/>
      <c r="B1616" s="37"/>
      <c r="C1616" s="35"/>
      <c r="D1616" s="35"/>
      <c r="E1616" s="35" t="s">
        <v>4867</v>
      </c>
      <c r="F1616" s="36">
        <v>0</v>
      </c>
      <c r="G1616" s="35" t="s">
        <v>4868</v>
      </c>
      <c r="H1616" s="35" t="s">
        <v>4870</v>
      </c>
    </row>
    <row r="1617" spans="1:8" ht="23.1" thickBot="1" x14ac:dyDescent="0.6">
      <c r="A1617" s="44"/>
      <c r="B1617" s="37"/>
      <c r="C1617" s="35"/>
      <c r="D1617" s="35"/>
      <c r="E1617" s="35" t="s">
        <v>4871</v>
      </c>
      <c r="F1617" s="36">
        <v>0</v>
      </c>
      <c r="G1617" s="35" t="s">
        <v>4872</v>
      </c>
      <c r="H1617" s="35" t="s">
        <v>4874</v>
      </c>
    </row>
    <row r="1618" spans="1:8" ht="23.1" thickBot="1" x14ac:dyDescent="0.6">
      <c r="A1618" s="44"/>
      <c r="B1618" s="37"/>
      <c r="C1618" s="35"/>
      <c r="D1618" s="35"/>
      <c r="E1618" s="35" t="s">
        <v>4875</v>
      </c>
      <c r="F1618" s="36">
        <v>0</v>
      </c>
      <c r="G1618" s="35" t="s">
        <v>4876</v>
      </c>
      <c r="H1618" s="35" t="s">
        <v>4878</v>
      </c>
    </row>
    <row r="1619" spans="1:8" ht="23.1" thickBot="1" x14ac:dyDescent="0.6">
      <c r="A1619" s="44"/>
      <c r="B1619" s="37"/>
      <c r="C1619" s="35"/>
      <c r="D1619" s="35"/>
      <c r="E1619" s="35" t="s">
        <v>4879</v>
      </c>
      <c r="F1619" s="36">
        <v>0</v>
      </c>
      <c r="G1619" s="35" t="s">
        <v>4880</v>
      </c>
      <c r="H1619" s="35" t="s">
        <v>4882</v>
      </c>
    </row>
    <row r="1620" spans="1:8" ht="23.1" thickBot="1" x14ac:dyDescent="0.6">
      <c r="A1620" s="44"/>
      <c r="B1620" s="37"/>
      <c r="C1620" s="35"/>
      <c r="D1620" s="35"/>
      <c r="E1620" s="35" t="s">
        <v>4883</v>
      </c>
      <c r="F1620" s="36">
        <v>0</v>
      </c>
      <c r="G1620" s="35" t="s">
        <v>4884</v>
      </c>
      <c r="H1620" s="35" t="s">
        <v>4886</v>
      </c>
    </row>
    <row r="1621" spans="1:8" ht="23.1" thickBot="1" x14ac:dyDescent="0.6">
      <c r="A1621" s="44"/>
      <c r="B1621" s="37"/>
      <c r="C1621" s="35"/>
      <c r="D1621" s="35"/>
      <c r="E1621" s="35" t="s">
        <v>4887</v>
      </c>
      <c r="F1621" s="36">
        <v>0</v>
      </c>
      <c r="G1621" s="35" t="s">
        <v>4888</v>
      </c>
      <c r="H1621" s="35" t="s">
        <v>4890</v>
      </c>
    </row>
    <row r="1622" spans="1:8" ht="23.1" thickBot="1" x14ac:dyDescent="0.6">
      <c r="A1622" s="44"/>
      <c r="B1622" s="37"/>
      <c r="C1622" s="35"/>
      <c r="D1622" s="35"/>
      <c r="E1622" s="35" t="s">
        <v>4891</v>
      </c>
      <c r="F1622" s="36">
        <v>0</v>
      </c>
      <c r="G1622" s="35" t="s">
        <v>4892</v>
      </c>
      <c r="H1622" s="35" t="s">
        <v>4894</v>
      </c>
    </row>
    <row r="1623" spans="1:8" ht="23.1" thickBot="1" x14ac:dyDescent="0.6">
      <c r="A1623" s="44"/>
      <c r="B1623" s="37"/>
      <c r="C1623" s="35"/>
      <c r="D1623" s="35"/>
      <c r="E1623" s="35" t="s">
        <v>4895</v>
      </c>
      <c r="F1623" s="36">
        <v>0</v>
      </c>
      <c r="G1623" s="35" t="s">
        <v>2636</v>
      </c>
      <c r="H1623" s="35" t="s">
        <v>4897</v>
      </c>
    </row>
    <row r="1624" spans="1:8" ht="23.1" thickBot="1" x14ac:dyDescent="0.6">
      <c r="A1624" s="44"/>
      <c r="B1624" s="37"/>
      <c r="C1624" s="35"/>
      <c r="D1624" s="35"/>
      <c r="E1624" s="35" t="s">
        <v>4898</v>
      </c>
      <c r="F1624" s="36">
        <v>0</v>
      </c>
      <c r="G1624" s="35" t="s">
        <v>4899</v>
      </c>
      <c r="H1624" s="35" t="s">
        <v>4901</v>
      </c>
    </row>
    <row r="1625" spans="1:8" ht="23.1" thickBot="1" x14ac:dyDescent="0.6">
      <c r="A1625" s="44"/>
      <c r="B1625" s="37"/>
      <c r="C1625" s="35"/>
      <c r="D1625" s="35"/>
      <c r="E1625" s="35" t="s">
        <v>4902</v>
      </c>
      <c r="F1625" s="36">
        <v>0</v>
      </c>
      <c r="G1625" s="35" t="s">
        <v>4903</v>
      </c>
      <c r="H1625" s="35" t="s">
        <v>4905</v>
      </c>
    </row>
    <row r="1626" spans="1:8" ht="23.1" thickBot="1" x14ac:dyDescent="0.6">
      <c r="A1626" s="44"/>
      <c r="B1626" s="37"/>
      <c r="C1626" s="35"/>
      <c r="D1626" s="35"/>
      <c r="E1626" s="35" t="s">
        <v>4906</v>
      </c>
      <c r="F1626" s="36">
        <v>0</v>
      </c>
      <c r="G1626" s="35" t="s">
        <v>4907</v>
      </c>
      <c r="H1626" s="35" t="s">
        <v>4909</v>
      </c>
    </row>
    <row r="1627" spans="1:8" ht="23.1" thickBot="1" x14ac:dyDescent="0.6">
      <c r="A1627" s="44"/>
      <c r="B1627" s="37"/>
      <c r="C1627" s="35"/>
      <c r="D1627" s="35"/>
      <c r="E1627" s="35" t="s">
        <v>4910</v>
      </c>
      <c r="F1627" s="36">
        <v>0</v>
      </c>
      <c r="G1627" s="35" t="s">
        <v>4911</v>
      </c>
      <c r="H1627" s="35" t="s">
        <v>4913</v>
      </c>
    </row>
    <row r="1628" spans="1:8" ht="23.1" thickBot="1" x14ac:dyDescent="0.6">
      <c r="A1628" s="44"/>
      <c r="B1628" s="37"/>
      <c r="C1628" s="35"/>
      <c r="D1628" s="35"/>
      <c r="E1628" s="35" t="s">
        <v>4914</v>
      </c>
      <c r="F1628" s="36">
        <v>0</v>
      </c>
      <c r="G1628" s="35" t="s">
        <v>4915</v>
      </c>
      <c r="H1628" s="35" t="s">
        <v>4917</v>
      </c>
    </row>
    <row r="1629" spans="1:8" ht="23.1" thickBot="1" x14ac:dyDescent="0.6">
      <c r="A1629" s="44"/>
      <c r="B1629" s="37"/>
      <c r="C1629" s="35"/>
      <c r="D1629" s="35"/>
      <c r="E1629" s="35" t="s">
        <v>4918</v>
      </c>
      <c r="F1629" s="36">
        <v>0</v>
      </c>
      <c r="G1629" s="35" t="s">
        <v>4919</v>
      </c>
      <c r="H1629" s="35" t="s">
        <v>4921</v>
      </c>
    </row>
    <row r="1630" spans="1:8" ht="23.1" thickBot="1" x14ac:dyDescent="0.6">
      <c r="A1630" s="44"/>
      <c r="B1630" s="37"/>
      <c r="C1630" s="35"/>
      <c r="D1630" s="35"/>
      <c r="E1630" s="35" t="s">
        <v>4922</v>
      </c>
      <c r="F1630" s="36">
        <v>0</v>
      </c>
      <c r="G1630" s="35" t="s">
        <v>4923</v>
      </c>
      <c r="H1630" s="35" t="s">
        <v>4925</v>
      </c>
    </row>
    <row r="1631" spans="1:8" ht="23.1" thickBot="1" x14ac:dyDescent="0.6">
      <c r="A1631" s="44"/>
      <c r="B1631" s="37"/>
      <c r="C1631" s="35"/>
      <c r="D1631" s="35"/>
      <c r="E1631" s="35" t="s">
        <v>4926</v>
      </c>
      <c r="F1631" s="36">
        <v>0</v>
      </c>
      <c r="G1631" s="35" t="s">
        <v>4927</v>
      </c>
      <c r="H1631" s="35" t="s">
        <v>4929</v>
      </c>
    </row>
    <row r="1632" spans="1:8" ht="23.1" thickBot="1" x14ac:dyDescent="0.6">
      <c r="A1632" s="44"/>
      <c r="B1632" s="37"/>
      <c r="C1632" s="35"/>
      <c r="D1632" s="35"/>
      <c r="E1632" s="35" t="s">
        <v>4930</v>
      </c>
      <c r="F1632" s="36">
        <v>0</v>
      </c>
      <c r="G1632" s="35" t="s">
        <v>4931</v>
      </c>
      <c r="H1632" s="35" t="s">
        <v>4933</v>
      </c>
    </row>
    <row r="1633" spans="1:8" ht="14.7" thickBot="1" x14ac:dyDescent="0.6">
      <c r="A1633" s="44"/>
      <c r="B1633" s="37"/>
      <c r="C1633" s="35"/>
      <c r="D1633" s="35"/>
      <c r="E1633" s="35" t="s">
        <v>4935</v>
      </c>
      <c r="F1633" s="36">
        <v>0</v>
      </c>
      <c r="G1633" s="35" t="s">
        <v>4936</v>
      </c>
      <c r="H1633" s="35" t="s">
        <v>4938</v>
      </c>
    </row>
    <row r="1634" spans="1:8" ht="14.7" thickBot="1" x14ac:dyDescent="0.6">
      <c r="A1634" s="44"/>
      <c r="B1634" s="37"/>
      <c r="C1634" s="35"/>
      <c r="D1634" s="35"/>
      <c r="E1634" s="35" t="s">
        <v>4939</v>
      </c>
      <c r="F1634" s="36">
        <v>0</v>
      </c>
      <c r="G1634" s="35" t="s">
        <v>4934</v>
      </c>
      <c r="H1634" s="35" t="s">
        <v>4941</v>
      </c>
    </row>
    <row r="1635" spans="1:8" ht="14.7" thickBot="1" x14ac:dyDescent="0.6">
      <c r="A1635" s="44"/>
      <c r="B1635" s="37"/>
      <c r="C1635" s="35"/>
      <c r="D1635" s="35"/>
      <c r="E1635" s="35" t="s">
        <v>4942</v>
      </c>
      <c r="F1635" s="36">
        <v>0</v>
      </c>
      <c r="G1635" s="35" t="s">
        <v>4943</v>
      </c>
      <c r="H1635" s="35" t="s">
        <v>4945</v>
      </c>
    </row>
    <row r="1636" spans="1:8" ht="14.7" thickBot="1" x14ac:dyDescent="0.6">
      <c r="A1636" s="44"/>
      <c r="B1636" s="37"/>
      <c r="C1636" s="35"/>
      <c r="D1636" s="35"/>
      <c r="E1636" s="35" t="s">
        <v>4946</v>
      </c>
      <c r="F1636" s="36">
        <v>0</v>
      </c>
      <c r="G1636" s="35" t="s">
        <v>4947</v>
      </c>
      <c r="H1636" s="35" t="s">
        <v>4949</v>
      </c>
    </row>
    <row r="1637" spans="1:8" ht="14.7" thickBot="1" x14ac:dyDescent="0.6">
      <c r="A1637" s="44"/>
      <c r="B1637" s="37"/>
      <c r="C1637" s="35"/>
      <c r="D1637" s="35"/>
      <c r="E1637" s="35" t="s">
        <v>4950</v>
      </c>
      <c r="F1637" s="36">
        <v>0</v>
      </c>
      <c r="G1637" s="35" t="s">
        <v>4951</v>
      </c>
      <c r="H1637" s="35" t="s">
        <v>4953</v>
      </c>
    </row>
    <row r="1638" spans="1:8" ht="23.1" thickBot="1" x14ac:dyDescent="0.6">
      <c r="A1638" s="44"/>
      <c r="B1638" s="37"/>
      <c r="C1638" s="35"/>
      <c r="D1638" s="35"/>
      <c r="E1638" s="35" t="s">
        <v>4954</v>
      </c>
      <c r="F1638" s="36">
        <v>0</v>
      </c>
      <c r="G1638" s="35" t="s">
        <v>4955</v>
      </c>
      <c r="H1638" s="35" t="s">
        <v>4957</v>
      </c>
    </row>
    <row r="1639" spans="1:8" ht="14.7" thickBot="1" x14ac:dyDescent="0.6">
      <c r="A1639" s="44"/>
      <c r="B1639" s="37"/>
      <c r="C1639" s="35"/>
      <c r="D1639" s="35"/>
      <c r="E1639" s="35" t="s">
        <v>4958</v>
      </c>
      <c r="F1639" s="36">
        <v>0</v>
      </c>
      <c r="G1639" s="35" t="s">
        <v>4959</v>
      </c>
      <c r="H1639" s="35" t="s">
        <v>4961</v>
      </c>
    </row>
    <row r="1640" spans="1:8" ht="23.1" thickBot="1" x14ac:dyDescent="0.6">
      <c r="A1640" s="44"/>
      <c r="B1640" s="37"/>
      <c r="C1640" s="35"/>
      <c r="D1640" s="35"/>
      <c r="E1640" s="35" t="s">
        <v>4962</v>
      </c>
      <c r="F1640" s="36">
        <v>0</v>
      </c>
      <c r="G1640" s="35" t="s">
        <v>4963</v>
      </c>
      <c r="H1640" s="35" t="s">
        <v>4965</v>
      </c>
    </row>
    <row r="1641" spans="1:8" ht="23.1" thickBot="1" x14ac:dyDescent="0.6">
      <c r="A1641" s="44"/>
      <c r="B1641" s="37"/>
      <c r="C1641" s="35"/>
      <c r="D1641" s="35"/>
      <c r="E1641" s="35" t="s">
        <v>4966</v>
      </c>
      <c r="F1641" s="36">
        <v>0</v>
      </c>
      <c r="G1641" s="35" t="s">
        <v>4967</v>
      </c>
      <c r="H1641" s="35" t="s">
        <v>4969</v>
      </c>
    </row>
    <row r="1642" spans="1:8" ht="23.1" thickBot="1" x14ac:dyDescent="0.6">
      <c r="A1642" s="44"/>
      <c r="B1642" s="37"/>
      <c r="C1642" s="35"/>
      <c r="D1642" s="35"/>
      <c r="E1642" s="35" t="s">
        <v>4970</v>
      </c>
      <c r="F1642" s="36">
        <v>0</v>
      </c>
      <c r="G1642" s="35" t="s">
        <v>4971</v>
      </c>
      <c r="H1642" s="35" t="s">
        <v>4973</v>
      </c>
    </row>
    <row r="1643" spans="1:8" ht="23.1" thickBot="1" x14ac:dyDescent="0.6">
      <c r="A1643" s="44"/>
      <c r="B1643" s="37"/>
      <c r="C1643" s="35"/>
      <c r="D1643" s="35"/>
      <c r="E1643" s="35" t="s">
        <v>4974</v>
      </c>
      <c r="F1643" s="36">
        <v>0</v>
      </c>
      <c r="G1643" s="35" t="s">
        <v>4975</v>
      </c>
      <c r="H1643" s="35" t="s">
        <v>4977</v>
      </c>
    </row>
    <row r="1644" spans="1:8" ht="23.1" thickBot="1" x14ac:dyDescent="0.6">
      <c r="A1644" s="44"/>
      <c r="B1644" s="37"/>
      <c r="C1644" s="35"/>
      <c r="D1644" s="35"/>
      <c r="E1644" s="35" t="s">
        <v>4978</v>
      </c>
      <c r="F1644" s="36">
        <v>0</v>
      </c>
      <c r="G1644" s="35" t="s">
        <v>4979</v>
      </c>
      <c r="H1644" s="35" t="s">
        <v>4981</v>
      </c>
    </row>
    <row r="1645" spans="1:8" ht="23.1" thickBot="1" x14ac:dyDescent="0.6">
      <c r="A1645" s="44"/>
      <c r="B1645" s="37"/>
      <c r="C1645" s="35"/>
      <c r="D1645" s="35"/>
      <c r="E1645" s="35" t="s">
        <v>4982</v>
      </c>
      <c r="F1645" s="36">
        <v>0</v>
      </c>
      <c r="G1645" s="35" t="s">
        <v>4983</v>
      </c>
      <c r="H1645" s="35" t="s">
        <v>4985</v>
      </c>
    </row>
    <row r="1646" spans="1:8" ht="34.5" thickBot="1" x14ac:dyDescent="0.6">
      <c r="A1646" s="44"/>
      <c r="B1646" s="37"/>
      <c r="C1646" s="35"/>
      <c r="D1646" s="35"/>
      <c r="E1646" s="35" t="s">
        <v>4986</v>
      </c>
      <c r="F1646" s="36">
        <v>0</v>
      </c>
      <c r="G1646" s="35" t="s">
        <v>4987</v>
      </c>
      <c r="H1646" s="35" t="s">
        <v>4989</v>
      </c>
    </row>
    <row r="1647" spans="1:8" ht="23.1" thickBot="1" x14ac:dyDescent="0.6">
      <c r="A1647" s="44"/>
      <c r="B1647" s="37"/>
      <c r="C1647" s="35"/>
      <c r="D1647" s="35"/>
      <c r="E1647" s="35" t="s">
        <v>4990</v>
      </c>
      <c r="F1647" s="36">
        <v>0</v>
      </c>
      <c r="G1647" s="35" t="s">
        <v>4991</v>
      </c>
      <c r="H1647" s="35" t="s">
        <v>4993</v>
      </c>
    </row>
    <row r="1648" spans="1:8" ht="23.1" thickBot="1" x14ac:dyDescent="0.6">
      <c r="A1648" s="44"/>
      <c r="B1648" s="37"/>
      <c r="C1648" s="35"/>
      <c r="D1648" s="35"/>
      <c r="E1648" s="35" t="s">
        <v>4994</v>
      </c>
      <c r="F1648" s="36">
        <v>0</v>
      </c>
      <c r="G1648" s="35" t="s">
        <v>4995</v>
      </c>
      <c r="H1648" s="35" t="s">
        <v>4997</v>
      </c>
    </row>
    <row r="1649" spans="1:8" ht="23.1" thickBot="1" x14ac:dyDescent="0.6">
      <c r="A1649" s="44"/>
      <c r="B1649" s="37"/>
      <c r="C1649" s="35"/>
      <c r="D1649" s="35"/>
      <c r="E1649" s="35" t="s">
        <v>4998</v>
      </c>
      <c r="F1649" s="36">
        <v>0</v>
      </c>
      <c r="G1649" s="35" t="s">
        <v>4999</v>
      </c>
      <c r="H1649" s="35" t="s">
        <v>5001</v>
      </c>
    </row>
    <row r="1650" spans="1:8" ht="23.1" thickBot="1" x14ac:dyDescent="0.6">
      <c r="A1650" s="44"/>
      <c r="B1650" s="37"/>
      <c r="C1650" s="35"/>
      <c r="D1650" s="35"/>
      <c r="E1650" s="35" t="s">
        <v>5002</v>
      </c>
      <c r="F1650" s="36">
        <v>0</v>
      </c>
      <c r="G1650" s="35" t="s">
        <v>5003</v>
      </c>
      <c r="H1650" s="35" t="s">
        <v>5005</v>
      </c>
    </row>
    <row r="1651" spans="1:8" ht="23.1" thickBot="1" x14ac:dyDescent="0.6">
      <c r="A1651" s="44"/>
      <c r="B1651" s="37"/>
      <c r="C1651" s="35"/>
      <c r="D1651" s="35"/>
      <c r="E1651" s="35" t="s">
        <v>5006</v>
      </c>
      <c r="F1651" s="36">
        <v>0</v>
      </c>
      <c r="G1651" s="35" t="s">
        <v>5007</v>
      </c>
      <c r="H1651" s="35" t="s">
        <v>5009</v>
      </c>
    </row>
    <row r="1652" spans="1:8" ht="23.1" thickBot="1" x14ac:dyDescent="0.6">
      <c r="A1652" s="44"/>
      <c r="B1652" s="37"/>
      <c r="C1652" s="35"/>
      <c r="D1652" s="35"/>
      <c r="E1652" s="35" t="s">
        <v>5010</v>
      </c>
      <c r="F1652" s="36">
        <v>0</v>
      </c>
      <c r="G1652" s="35" t="s">
        <v>5011</v>
      </c>
      <c r="H1652" s="35" t="s">
        <v>5013</v>
      </c>
    </row>
    <row r="1653" spans="1:8" ht="34.5" thickBot="1" x14ac:dyDescent="0.6">
      <c r="A1653" s="44"/>
      <c r="B1653" s="37"/>
      <c r="C1653" s="35"/>
      <c r="D1653" s="35"/>
      <c r="E1653" s="35" t="s">
        <v>5014</v>
      </c>
      <c r="F1653" s="36">
        <v>0</v>
      </c>
      <c r="G1653" s="35" t="s">
        <v>5015</v>
      </c>
      <c r="H1653" s="35" t="s">
        <v>5017</v>
      </c>
    </row>
    <row r="1654" spans="1:8" ht="23.1" thickBot="1" x14ac:dyDescent="0.6">
      <c r="A1654" s="44"/>
      <c r="B1654" s="37"/>
      <c r="C1654" s="35"/>
      <c r="D1654" s="35"/>
      <c r="E1654" s="35" t="s">
        <v>5018</v>
      </c>
      <c r="F1654" s="36">
        <v>0</v>
      </c>
      <c r="G1654" s="35" t="s">
        <v>5019</v>
      </c>
      <c r="H1654" s="35" t="s">
        <v>5021</v>
      </c>
    </row>
    <row r="1655" spans="1:8" ht="23.1" thickBot="1" x14ac:dyDescent="0.6">
      <c r="A1655" s="44"/>
      <c r="B1655" s="37"/>
      <c r="C1655" s="35"/>
      <c r="D1655" s="35"/>
      <c r="E1655" s="35" t="s">
        <v>5022</v>
      </c>
      <c r="F1655" s="36">
        <v>0</v>
      </c>
      <c r="G1655" s="35" t="s">
        <v>5023</v>
      </c>
      <c r="H1655" s="35" t="s">
        <v>5025</v>
      </c>
    </row>
    <row r="1656" spans="1:8" ht="23.1" thickBot="1" x14ac:dyDescent="0.6">
      <c r="A1656" s="44"/>
      <c r="B1656" s="37"/>
      <c r="C1656" s="35"/>
      <c r="D1656" s="35"/>
      <c r="E1656" s="35" t="s">
        <v>5026</v>
      </c>
      <c r="F1656" s="36">
        <v>0</v>
      </c>
      <c r="G1656" s="35" t="s">
        <v>5027</v>
      </c>
      <c r="H1656" s="35" t="s">
        <v>5029</v>
      </c>
    </row>
    <row r="1657" spans="1:8" ht="23.1" thickBot="1" x14ac:dyDescent="0.6">
      <c r="A1657" s="44"/>
      <c r="B1657" s="37"/>
      <c r="C1657" s="35"/>
      <c r="D1657" s="35"/>
      <c r="E1657" s="35" t="s">
        <v>5030</v>
      </c>
      <c r="F1657" s="36">
        <v>0</v>
      </c>
      <c r="G1657" s="35" t="s">
        <v>5031</v>
      </c>
      <c r="H1657" s="35" t="s">
        <v>5033</v>
      </c>
    </row>
    <row r="1658" spans="1:8" ht="23.1" thickBot="1" x14ac:dyDescent="0.6">
      <c r="A1658" s="44"/>
      <c r="B1658" s="37"/>
      <c r="C1658" s="35"/>
      <c r="D1658" s="35"/>
      <c r="E1658" s="35" t="s">
        <v>5034</v>
      </c>
      <c r="F1658" s="36">
        <v>0</v>
      </c>
      <c r="G1658" s="35" t="s">
        <v>5035</v>
      </c>
      <c r="H1658" s="35" t="s">
        <v>5037</v>
      </c>
    </row>
    <row r="1659" spans="1:8" ht="23.1" thickBot="1" x14ac:dyDescent="0.6">
      <c r="A1659" s="44"/>
      <c r="B1659" s="37"/>
      <c r="C1659" s="35"/>
      <c r="D1659" s="35"/>
      <c r="E1659" s="35" t="s">
        <v>5038</v>
      </c>
      <c r="F1659" s="36">
        <v>0</v>
      </c>
      <c r="G1659" s="35" t="s">
        <v>5039</v>
      </c>
      <c r="H1659" s="35" t="s">
        <v>5041</v>
      </c>
    </row>
    <row r="1660" spans="1:8" ht="23.1" thickBot="1" x14ac:dyDescent="0.6">
      <c r="A1660" s="44"/>
      <c r="B1660" s="37"/>
      <c r="C1660" s="35"/>
      <c r="D1660" s="35"/>
      <c r="E1660" s="35" t="s">
        <v>5042</v>
      </c>
      <c r="F1660" s="36">
        <v>0</v>
      </c>
      <c r="G1660" s="35" t="s">
        <v>1651</v>
      </c>
      <c r="H1660" s="35" t="s">
        <v>5044</v>
      </c>
    </row>
    <row r="1661" spans="1:8" ht="23.1" thickBot="1" x14ac:dyDescent="0.6">
      <c r="A1661" s="44"/>
      <c r="B1661" s="37"/>
      <c r="C1661" s="35"/>
      <c r="D1661" s="35"/>
      <c r="E1661" s="35" t="s">
        <v>5045</v>
      </c>
      <c r="F1661" s="36">
        <v>0</v>
      </c>
      <c r="G1661" s="35" t="s">
        <v>5046</v>
      </c>
      <c r="H1661" s="35" t="s">
        <v>5048</v>
      </c>
    </row>
    <row r="1662" spans="1:8" ht="23.1" thickBot="1" x14ac:dyDescent="0.6">
      <c r="A1662" s="44"/>
      <c r="B1662" s="37"/>
      <c r="C1662" s="35"/>
      <c r="D1662" s="35"/>
      <c r="E1662" s="35" t="s">
        <v>5049</v>
      </c>
      <c r="F1662" s="36">
        <v>0</v>
      </c>
      <c r="G1662" s="35" t="s">
        <v>5050</v>
      </c>
      <c r="H1662" s="35" t="s">
        <v>5052</v>
      </c>
    </row>
    <row r="1663" spans="1:8" ht="23.1" thickBot="1" x14ac:dyDescent="0.6">
      <c r="A1663" s="44"/>
      <c r="B1663" s="37"/>
      <c r="C1663" s="35"/>
      <c r="D1663" s="35"/>
      <c r="E1663" s="35" t="s">
        <v>5053</v>
      </c>
      <c r="F1663" s="36">
        <v>0</v>
      </c>
      <c r="G1663" s="35" t="s">
        <v>5054</v>
      </c>
      <c r="H1663" s="35" t="s">
        <v>5056</v>
      </c>
    </row>
    <row r="1664" spans="1:8" ht="23.1" thickBot="1" x14ac:dyDescent="0.6">
      <c r="A1664" s="44"/>
      <c r="B1664" s="37"/>
      <c r="C1664" s="35"/>
      <c r="D1664" s="35"/>
      <c r="E1664" s="35" t="s">
        <v>5057</v>
      </c>
      <c r="F1664" s="36">
        <v>0</v>
      </c>
      <c r="G1664" s="35" t="s">
        <v>5058</v>
      </c>
      <c r="H1664" s="35" t="s">
        <v>5060</v>
      </c>
    </row>
    <row r="1665" spans="1:8" ht="23.1" thickBot="1" x14ac:dyDescent="0.6">
      <c r="A1665" s="44"/>
      <c r="B1665" s="37"/>
      <c r="C1665" s="35"/>
      <c r="D1665" s="35"/>
      <c r="E1665" s="35" t="s">
        <v>5061</v>
      </c>
      <c r="F1665" s="36">
        <v>0</v>
      </c>
      <c r="G1665" s="35" t="s">
        <v>5062</v>
      </c>
      <c r="H1665" s="35" t="s">
        <v>5064</v>
      </c>
    </row>
    <row r="1666" spans="1:8" ht="23.1" thickBot="1" x14ac:dyDescent="0.6">
      <c r="A1666" s="44"/>
      <c r="B1666" s="37"/>
      <c r="C1666" s="35"/>
      <c r="D1666" s="35"/>
      <c r="E1666" s="35" t="s">
        <v>5065</v>
      </c>
      <c r="F1666" s="36">
        <v>0</v>
      </c>
      <c r="G1666" s="35" t="s">
        <v>5066</v>
      </c>
      <c r="H1666" s="35" t="s">
        <v>5068</v>
      </c>
    </row>
    <row r="1667" spans="1:8" ht="23.1" thickBot="1" x14ac:dyDescent="0.6">
      <c r="A1667" s="44"/>
      <c r="B1667" s="37"/>
      <c r="C1667" s="35"/>
      <c r="D1667" s="35"/>
      <c r="E1667" s="35" t="s">
        <v>5069</v>
      </c>
      <c r="F1667" s="36">
        <v>0</v>
      </c>
      <c r="G1667" s="35" t="s">
        <v>5070</v>
      </c>
      <c r="H1667" s="35" t="s">
        <v>5072</v>
      </c>
    </row>
    <row r="1668" spans="1:8" ht="23.1" thickBot="1" x14ac:dyDescent="0.6">
      <c r="A1668" s="44"/>
      <c r="B1668" s="37"/>
      <c r="C1668" s="35"/>
      <c r="D1668" s="35"/>
      <c r="E1668" s="35" t="s">
        <v>5073</v>
      </c>
      <c r="F1668" s="36">
        <v>0</v>
      </c>
      <c r="G1668" s="35" t="s">
        <v>5074</v>
      </c>
      <c r="H1668" s="35" t="s">
        <v>5076</v>
      </c>
    </row>
    <row r="1669" spans="1:8" ht="23.1" thickBot="1" x14ac:dyDescent="0.6">
      <c r="A1669" s="44"/>
      <c r="B1669" s="37"/>
      <c r="C1669" s="35"/>
      <c r="D1669" s="35"/>
      <c r="E1669" s="35" t="s">
        <v>5077</v>
      </c>
      <c r="F1669" s="36">
        <v>0</v>
      </c>
      <c r="G1669" s="35" t="s">
        <v>1349</v>
      </c>
      <c r="H1669" s="35" t="s">
        <v>5079</v>
      </c>
    </row>
    <row r="1670" spans="1:8" ht="23.1" thickBot="1" x14ac:dyDescent="0.6">
      <c r="A1670" s="44"/>
      <c r="B1670" s="37"/>
      <c r="C1670" s="35"/>
      <c r="D1670" s="35"/>
      <c r="E1670" s="35" t="s">
        <v>5080</v>
      </c>
      <c r="F1670" s="36">
        <v>0</v>
      </c>
      <c r="G1670" s="35" t="s">
        <v>5081</v>
      </c>
      <c r="H1670" s="35" t="s">
        <v>5083</v>
      </c>
    </row>
    <row r="1671" spans="1:8" ht="23.1" thickBot="1" x14ac:dyDescent="0.6">
      <c r="A1671" s="44"/>
      <c r="B1671" s="37"/>
      <c r="C1671" s="35"/>
      <c r="D1671" s="35"/>
      <c r="E1671" s="35" t="s">
        <v>5084</v>
      </c>
      <c r="F1671" s="36">
        <v>0</v>
      </c>
      <c r="G1671" s="35" t="s">
        <v>5085</v>
      </c>
      <c r="H1671" s="35" t="s">
        <v>5087</v>
      </c>
    </row>
    <row r="1672" spans="1:8" ht="23.1" thickBot="1" x14ac:dyDescent="0.6">
      <c r="A1672" s="44"/>
      <c r="B1672" s="37"/>
      <c r="C1672" s="35"/>
      <c r="D1672" s="35"/>
      <c r="E1672" s="35" t="s">
        <v>5088</v>
      </c>
      <c r="F1672" s="36">
        <v>0</v>
      </c>
      <c r="G1672" s="35" t="s">
        <v>1523</v>
      </c>
      <c r="H1672" s="35" t="s">
        <v>5090</v>
      </c>
    </row>
    <row r="1673" spans="1:8" ht="23.1" thickBot="1" x14ac:dyDescent="0.6">
      <c r="A1673" s="44"/>
      <c r="B1673" s="37"/>
      <c r="C1673" s="35"/>
      <c r="D1673" s="35"/>
      <c r="E1673" s="35" t="s">
        <v>5091</v>
      </c>
      <c r="F1673" s="36">
        <v>0</v>
      </c>
      <c r="G1673" s="35" t="s">
        <v>1731</v>
      </c>
      <c r="H1673" s="35" t="s">
        <v>5093</v>
      </c>
    </row>
    <row r="1674" spans="1:8" ht="23.1" thickBot="1" x14ac:dyDescent="0.6">
      <c r="A1674" s="44"/>
      <c r="B1674" s="37"/>
      <c r="C1674" s="35"/>
      <c r="D1674" s="35"/>
      <c r="E1674" s="35" t="s">
        <v>5094</v>
      </c>
      <c r="F1674" s="36">
        <v>0</v>
      </c>
      <c r="G1674" s="35" t="s">
        <v>5095</v>
      </c>
      <c r="H1674" s="35" t="s">
        <v>5097</v>
      </c>
    </row>
    <row r="1675" spans="1:8" ht="34.5" thickBot="1" x14ac:dyDescent="0.6">
      <c r="A1675" s="44"/>
      <c r="B1675" s="37"/>
      <c r="C1675" s="35"/>
      <c r="D1675" s="35"/>
      <c r="E1675" s="35" t="s">
        <v>5098</v>
      </c>
      <c r="F1675" s="36">
        <v>0</v>
      </c>
      <c r="G1675" s="35" t="s">
        <v>5099</v>
      </c>
      <c r="H1675" s="35" t="s">
        <v>5101</v>
      </c>
    </row>
    <row r="1676" spans="1:8" ht="23.1" thickBot="1" x14ac:dyDescent="0.6">
      <c r="A1676" s="44"/>
      <c r="B1676" s="37"/>
      <c r="C1676" s="35"/>
      <c r="D1676" s="35"/>
      <c r="E1676" s="35" t="s">
        <v>5102</v>
      </c>
      <c r="F1676" s="36">
        <v>0</v>
      </c>
      <c r="G1676" s="35" t="s">
        <v>5103</v>
      </c>
      <c r="H1676" s="35" t="s">
        <v>5105</v>
      </c>
    </row>
    <row r="1677" spans="1:8" ht="23.1" thickBot="1" x14ac:dyDescent="0.6">
      <c r="A1677" s="44"/>
      <c r="B1677" s="37"/>
      <c r="C1677" s="35"/>
      <c r="D1677" s="35"/>
      <c r="E1677" s="35" t="s">
        <v>5106</v>
      </c>
      <c r="F1677" s="36">
        <v>0</v>
      </c>
      <c r="G1677" s="35" t="s">
        <v>5107</v>
      </c>
      <c r="H1677" s="35" t="s">
        <v>5109</v>
      </c>
    </row>
    <row r="1678" spans="1:8" ht="34.5" thickBot="1" x14ac:dyDescent="0.6">
      <c r="A1678" s="44"/>
      <c r="B1678" s="37"/>
      <c r="C1678" s="35"/>
      <c r="D1678" s="35"/>
      <c r="E1678" s="35" t="s">
        <v>5110</v>
      </c>
      <c r="F1678" s="36">
        <v>0</v>
      </c>
      <c r="G1678" s="35" t="s">
        <v>5111</v>
      </c>
      <c r="H1678" s="35" t="s">
        <v>5113</v>
      </c>
    </row>
    <row r="1679" spans="1:8" ht="23.1" thickBot="1" x14ac:dyDescent="0.6">
      <c r="A1679" s="44"/>
      <c r="B1679" s="37"/>
      <c r="C1679" s="35"/>
      <c r="D1679" s="35"/>
      <c r="E1679" s="35" t="s">
        <v>5114</v>
      </c>
      <c r="F1679" s="36">
        <v>0</v>
      </c>
      <c r="G1679" s="35" t="s">
        <v>5115</v>
      </c>
      <c r="H1679" s="35" t="s">
        <v>5117</v>
      </c>
    </row>
    <row r="1680" spans="1:8" ht="14.7" thickBot="1" x14ac:dyDescent="0.6">
      <c r="A1680" s="44"/>
      <c r="B1680" s="37"/>
      <c r="C1680" s="35"/>
      <c r="D1680" s="35"/>
      <c r="E1680" s="35" t="s">
        <v>5118</v>
      </c>
      <c r="F1680" s="36">
        <v>0</v>
      </c>
      <c r="G1680" s="35" t="s">
        <v>5119</v>
      </c>
      <c r="H1680" s="35" t="s">
        <v>5121</v>
      </c>
    </row>
    <row r="1681" spans="1:8" ht="23.1" thickBot="1" x14ac:dyDescent="0.6">
      <c r="A1681" s="44"/>
      <c r="B1681" s="37"/>
      <c r="C1681" s="35"/>
      <c r="D1681" s="35"/>
      <c r="E1681" s="35" t="s">
        <v>5123</v>
      </c>
      <c r="F1681" s="36">
        <v>0</v>
      </c>
      <c r="G1681" s="35" t="s">
        <v>5124</v>
      </c>
      <c r="H1681" s="35" t="s">
        <v>5126</v>
      </c>
    </row>
    <row r="1682" spans="1:8" ht="23.1" thickBot="1" x14ac:dyDescent="0.6">
      <c r="A1682" s="44"/>
      <c r="B1682" s="37"/>
      <c r="C1682" s="35"/>
      <c r="D1682" s="35"/>
      <c r="E1682" s="35" t="s">
        <v>5127</v>
      </c>
      <c r="F1682" s="36">
        <v>0</v>
      </c>
      <c r="G1682" s="35" t="s">
        <v>5128</v>
      </c>
      <c r="H1682" s="35" t="s">
        <v>5130</v>
      </c>
    </row>
    <row r="1683" spans="1:8" ht="23.1" thickBot="1" x14ac:dyDescent="0.6">
      <c r="A1683" s="44"/>
      <c r="B1683" s="37"/>
      <c r="C1683" s="35"/>
      <c r="D1683" s="35"/>
      <c r="E1683" s="35" t="s">
        <v>5131</v>
      </c>
      <c r="F1683" s="36">
        <v>0</v>
      </c>
      <c r="G1683" s="35" t="s">
        <v>5132</v>
      </c>
      <c r="H1683" s="35" t="s">
        <v>5134</v>
      </c>
    </row>
    <row r="1684" spans="1:8" ht="23.1" thickBot="1" x14ac:dyDescent="0.6">
      <c r="A1684" s="44"/>
      <c r="B1684" s="37"/>
      <c r="C1684" s="35"/>
      <c r="D1684" s="35"/>
      <c r="E1684" s="35" t="s">
        <v>5135</v>
      </c>
      <c r="F1684" s="36">
        <v>0</v>
      </c>
      <c r="G1684" s="35" t="s">
        <v>5122</v>
      </c>
      <c r="H1684" s="35" t="s">
        <v>5137</v>
      </c>
    </row>
    <row r="1685" spans="1:8" ht="23.1" thickBot="1" x14ac:dyDescent="0.6">
      <c r="A1685" s="44"/>
      <c r="B1685" s="37"/>
      <c r="C1685" s="35"/>
      <c r="D1685" s="35"/>
      <c r="E1685" s="35" t="s">
        <v>5138</v>
      </c>
      <c r="F1685" s="36">
        <v>0</v>
      </c>
      <c r="G1685" s="35" t="s">
        <v>5139</v>
      </c>
      <c r="H1685" s="35" t="s">
        <v>5141</v>
      </c>
    </row>
    <row r="1686" spans="1:8" ht="23.1" thickBot="1" x14ac:dyDescent="0.6">
      <c r="A1686" s="44"/>
      <c r="B1686" s="37"/>
      <c r="C1686" s="35"/>
      <c r="D1686" s="35"/>
      <c r="E1686" s="35" t="s">
        <v>5142</v>
      </c>
      <c r="F1686" s="36">
        <v>0</v>
      </c>
      <c r="G1686" s="35" t="s">
        <v>5143</v>
      </c>
      <c r="H1686" s="35" t="s">
        <v>5145</v>
      </c>
    </row>
    <row r="1687" spans="1:8" ht="23.1" thickBot="1" x14ac:dyDescent="0.6">
      <c r="A1687" s="44"/>
      <c r="B1687" s="37"/>
      <c r="C1687" s="35"/>
      <c r="D1687" s="35"/>
      <c r="E1687" s="35" t="s">
        <v>5146</v>
      </c>
      <c r="F1687" s="36">
        <v>0</v>
      </c>
      <c r="G1687" s="35" t="s">
        <v>5147</v>
      </c>
      <c r="H1687" s="35" t="s">
        <v>5149</v>
      </c>
    </row>
    <row r="1688" spans="1:8" ht="23.1" thickBot="1" x14ac:dyDescent="0.6">
      <c r="A1688" s="44"/>
      <c r="B1688" s="37"/>
      <c r="C1688" s="35"/>
      <c r="D1688" s="35"/>
      <c r="E1688" s="35" t="s">
        <v>5150</v>
      </c>
      <c r="F1688" s="36">
        <v>0</v>
      </c>
      <c r="G1688" s="35" t="s">
        <v>5151</v>
      </c>
      <c r="H1688" s="35" t="s">
        <v>5153</v>
      </c>
    </row>
    <row r="1689" spans="1:8" ht="23.1" thickBot="1" x14ac:dyDescent="0.6">
      <c r="A1689" s="44"/>
      <c r="B1689" s="37"/>
      <c r="C1689" s="35"/>
      <c r="D1689" s="35"/>
      <c r="E1689" s="35" t="s">
        <v>5155</v>
      </c>
      <c r="F1689" s="36">
        <v>0</v>
      </c>
      <c r="G1689" s="35" t="s">
        <v>5156</v>
      </c>
      <c r="H1689" s="35" t="s">
        <v>5158</v>
      </c>
    </row>
    <row r="1690" spans="1:8" ht="23.1" thickBot="1" x14ac:dyDescent="0.6">
      <c r="A1690" s="44"/>
      <c r="B1690" s="37"/>
      <c r="C1690" s="35"/>
      <c r="D1690" s="35"/>
      <c r="E1690" s="35" t="s">
        <v>5159</v>
      </c>
      <c r="F1690" s="36">
        <v>0</v>
      </c>
      <c r="G1690" s="35" t="s">
        <v>5160</v>
      </c>
      <c r="H1690" s="35" t="s">
        <v>5162</v>
      </c>
    </row>
    <row r="1691" spans="1:8" ht="23.1" thickBot="1" x14ac:dyDescent="0.6">
      <c r="A1691" s="44"/>
      <c r="B1691" s="37"/>
      <c r="C1691" s="35"/>
      <c r="D1691" s="35"/>
      <c r="E1691" s="35" t="s">
        <v>5163</v>
      </c>
      <c r="F1691" s="36">
        <v>0</v>
      </c>
      <c r="G1691" s="35" t="s">
        <v>5164</v>
      </c>
      <c r="H1691" s="35" t="s">
        <v>5166</v>
      </c>
    </row>
    <row r="1692" spans="1:8" ht="23.1" thickBot="1" x14ac:dyDescent="0.6">
      <c r="A1692" s="44"/>
      <c r="B1692" s="37"/>
      <c r="C1692" s="35"/>
      <c r="D1692" s="35"/>
      <c r="E1692" s="35" t="s">
        <v>5167</v>
      </c>
      <c r="F1692" s="36">
        <v>0</v>
      </c>
      <c r="G1692" s="35" t="s">
        <v>5168</v>
      </c>
      <c r="H1692" s="35" t="s">
        <v>5170</v>
      </c>
    </row>
    <row r="1693" spans="1:8" ht="23.1" thickBot="1" x14ac:dyDescent="0.6">
      <c r="A1693" s="44"/>
      <c r="B1693" s="37"/>
      <c r="C1693" s="35"/>
      <c r="D1693" s="35"/>
      <c r="E1693" s="35" t="s">
        <v>5171</v>
      </c>
      <c r="F1693" s="36">
        <v>0</v>
      </c>
      <c r="G1693" s="35" t="s">
        <v>5172</v>
      </c>
      <c r="H1693" s="35" t="s">
        <v>5174</v>
      </c>
    </row>
    <row r="1694" spans="1:8" ht="14.7" thickBot="1" x14ac:dyDescent="0.6">
      <c r="A1694" s="44"/>
      <c r="B1694" s="37"/>
      <c r="C1694" s="35"/>
      <c r="D1694" s="35"/>
      <c r="E1694" s="35" t="s">
        <v>5175</v>
      </c>
      <c r="F1694" s="36">
        <v>0</v>
      </c>
      <c r="G1694" s="35" t="s">
        <v>5176</v>
      </c>
      <c r="H1694" s="35" t="s">
        <v>5178</v>
      </c>
    </row>
    <row r="1695" spans="1:8" ht="23.1" thickBot="1" x14ac:dyDescent="0.6">
      <c r="A1695" s="44"/>
      <c r="B1695" s="37"/>
      <c r="C1695" s="35"/>
      <c r="D1695" s="35"/>
      <c r="E1695" s="35" t="s">
        <v>5179</v>
      </c>
      <c r="F1695" s="36">
        <v>0</v>
      </c>
      <c r="G1695" s="35" t="s">
        <v>5154</v>
      </c>
      <c r="H1695" s="35" t="s">
        <v>5181</v>
      </c>
    </row>
    <row r="1696" spans="1:8" ht="23.1" thickBot="1" x14ac:dyDescent="0.6">
      <c r="A1696" s="44"/>
      <c r="B1696" s="37"/>
      <c r="C1696" s="35"/>
      <c r="D1696" s="35"/>
      <c r="E1696" s="35" t="s">
        <v>5182</v>
      </c>
      <c r="F1696" s="36">
        <v>0</v>
      </c>
      <c r="G1696" s="35" t="s">
        <v>5183</v>
      </c>
      <c r="H1696" s="35" t="s">
        <v>5185</v>
      </c>
    </row>
    <row r="1697" spans="1:8" ht="23.1" thickBot="1" x14ac:dyDescent="0.6">
      <c r="A1697" s="44"/>
      <c r="B1697" s="37"/>
      <c r="C1697" s="35"/>
      <c r="D1697" s="35"/>
      <c r="E1697" s="35" t="s">
        <v>5186</v>
      </c>
      <c r="F1697" s="36">
        <v>0</v>
      </c>
      <c r="G1697" s="35" t="s">
        <v>5187</v>
      </c>
      <c r="H1697" s="35" t="s">
        <v>5189</v>
      </c>
    </row>
    <row r="1698" spans="1:8" ht="23.1" thickBot="1" x14ac:dyDescent="0.6">
      <c r="A1698" s="44"/>
      <c r="B1698" s="37"/>
      <c r="C1698" s="35"/>
      <c r="D1698" s="35"/>
      <c r="E1698" s="35" t="s">
        <v>5190</v>
      </c>
      <c r="F1698" s="36">
        <v>0</v>
      </c>
      <c r="G1698" s="35" t="s">
        <v>5191</v>
      </c>
      <c r="H1698" s="35" t="s">
        <v>5193</v>
      </c>
    </row>
    <row r="1699" spans="1:8" ht="23.1" thickBot="1" x14ac:dyDescent="0.6">
      <c r="A1699" s="44"/>
      <c r="B1699" s="37"/>
      <c r="C1699" s="35"/>
      <c r="D1699" s="35"/>
      <c r="E1699" s="35" t="s">
        <v>5194</v>
      </c>
      <c r="F1699" s="36">
        <v>0</v>
      </c>
      <c r="G1699" s="35" t="s">
        <v>5195</v>
      </c>
      <c r="H1699" s="35" t="s">
        <v>5197</v>
      </c>
    </row>
    <row r="1700" spans="1:8" ht="23.1" thickBot="1" x14ac:dyDescent="0.6">
      <c r="A1700" s="44"/>
      <c r="B1700" s="37"/>
      <c r="C1700" s="35"/>
      <c r="D1700" s="35"/>
      <c r="E1700" s="35" t="s">
        <v>5198</v>
      </c>
      <c r="F1700" s="36">
        <v>0</v>
      </c>
      <c r="G1700" s="35" t="s">
        <v>5199</v>
      </c>
      <c r="H1700" s="35" t="s">
        <v>5201</v>
      </c>
    </row>
    <row r="1701" spans="1:8" ht="23.1" thickBot="1" x14ac:dyDescent="0.6">
      <c r="A1701" s="44"/>
      <c r="B1701" s="37"/>
      <c r="C1701" s="35"/>
      <c r="D1701" s="35"/>
      <c r="E1701" s="35" t="s">
        <v>5202</v>
      </c>
      <c r="F1701" s="36">
        <v>0</v>
      </c>
      <c r="G1701" s="35" t="s">
        <v>5203</v>
      </c>
      <c r="H1701" s="35" t="s">
        <v>5205</v>
      </c>
    </row>
    <row r="1702" spans="1:8" ht="14.7" thickBot="1" x14ac:dyDescent="0.6">
      <c r="A1702" s="44"/>
      <c r="B1702" s="37"/>
      <c r="C1702" s="35"/>
      <c r="D1702" s="35"/>
      <c r="E1702" s="35" t="s">
        <v>5206</v>
      </c>
      <c r="F1702" s="36">
        <v>0</v>
      </c>
      <c r="G1702" s="35" t="s">
        <v>5207</v>
      </c>
      <c r="H1702" s="35" t="s">
        <v>5209</v>
      </c>
    </row>
    <row r="1703" spans="1:8" ht="23.1" thickBot="1" x14ac:dyDescent="0.6">
      <c r="A1703" s="44"/>
      <c r="B1703" s="37"/>
      <c r="C1703" s="35"/>
      <c r="D1703" s="35"/>
      <c r="E1703" s="35" t="s">
        <v>5210</v>
      </c>
      <c r="F1703" s="36">
        <v>0</v>
      </c>
      <c r="G1703" s="35" t="s">
        <v>5211</v>
      </c>
      <c r="H1703" s="35" t="s">
        <v>5213</v>
      </c>
    </row>
    <row r="1704" spans="1:8" ht="23.1" thickBot="1" x14ac:dyDescent="0.6">
      <c r="A1704" s="44"/>
      <c r="B1704" s="37"/>
      <c r="C1704" s="35"/>
      <c r="D1704" s="35"/>
      <c r="E1704" s="35" t="s">
        <v>5214</v>
      </c>
      <c r="F1704" s="36">
        <v>0</v>
      </c>
      <c r="G1704" s="35" t="s">
        <v>5215</v>
      </c>
      <c r="H1704" s="35" t="s">
        <v>5217</v>
      </c>
    </row>
    <row r="1705" spans="1:8" ht="23.1" thickBot="1" x14ac:dyDescent="0.6">
      <c r="A1705" s="44"/>
      <c r="B1705" s="37"/>
      <c r="C1705" s="35"/>
      <c r="D1705" s="35"/>
      <c r="E1705" s="35" t="s">
        <v>5218</v>
      </c>
      <c r="F1705" s="36">
        <v>0</v>
      </c>
      <c r="G1705" s="35" t="s">
        <v>5219</v>
      </c>
      <c r="H1705" s="35" t="s">
        <v>5221</v>
      </c>
    </row>
    <row r="1706" spans="1:8" ht="23.1" thickBot="1" x14ac:dyDescent="0.6">
      <c r="A1706" s="44"/>
      <c r="B1706" s="37"/>
      <c r="C1706" s="35"/>
      <c r="D1706" s="35"/>
      <c r="E1706" s="35" t="s">
        <v>5222</v>
      </c>
      <c r="F1706" s="36">
        <v>0</v>
      </c>
      <c r="G1706" s="35" t="s">
        <v>5223</v>
      </c>
      <c r="H1706" s="35" t="s">
        <v>5225</v>
      </c>
    </row>
    <row r="1707" spans="1:8" ht="23.1" thickBot="1" x14ac:dyDescent="0.6">
      <c r="A1707" s="44"/>
      <c r="B1707" s="37"/>
      <c r="C1707" s="35"/>
      <c r="D1707" s="35"/>
      <c r="E1707" s="35" t="s">
        <v>5226</v>
      </c>
      <c r="F1707" s="36">
        <v>0</v>
      </c>
      <c r="G1707" s="35" t="s">
        <v>5227</v>
      </c>
      <c r="H1707" s="35" t="s">
        <v>5229</v>
      </c>
    </row>
    <row r="1708" spans="1:8" ht="23.1" thickBot="1" x14ac:dyDescent="0.6">
      <c r="A1708" s="44"/>
      <c r="B1708" s="37"/>
      <c r="C1708" s="35"/>
      <c r="D1708" s="35"/>
      <c r="E1708" s="35" t="s">
        <v>5230</v>
      </c>
      <c r="F1708" s="36">
        <v>0</v>
      </c>
      <c r="G1708" s="35" t="s">
        <v>5231</v>
      </c>
      <c r="H1708" s="35" t="s">
        <v>5233</v>
      </c>
    </row>
    <row r="1709" spans="1:8" ht="23.1" thickBot="1" x14ac:dyDescent="0.6">
      <c r="A1709" s="44"/>
      <c r="B1709" s="37"/>
      <c r="C1709" s="35"/>
      <c r="D1709" s="35"/>
      <c r="E1709" s="35" t="s">
        <v>5234</v>
      </c>
      <c r="F1709" s="36">
        <v>0</v>
      </c>
      <c r="G1709" s="35" t="s">
        <v>4425</v>
      </c>
      <c r="H1709" s="35" t="s">
        <v>5236</v>
      </c>
    </row>
    <row r="1710" spans="1:8" ht="23.1" thickBot="1" x14ac:dyDescent="0.6">
      <c r="A1710" s="44"/>
      <c r="B1710" s="37"/>
      <c r="C1710" s="35"/>
      <c r="D1710" s="35"/>
      <c r="E1710" s="35" t="s">
        <v>5237</v>
      </c>
      <c r="F1710" s="36">
        <v>0</v>
      </c>
      <c r="G1710" s="35" t="s">
        <v>5238</v>
      </c>
      <c r="H1710" s="35" t="s">
        <v>5240</v>
      </c>
    </row>
    <row r="1711" spans="1:8" ht="23.1" thickBot="1" x14ac:dyDescent="0.6">
      <c r="A1711" s="44"/>
      <c r="B1711" s="37"/>
      <c r="C1711" s="35"/>
      <c r="D1711" s="35"/>
      <c r="E1711" s="35" t="s">
        <v>5241</v>
      </c>
      <c r="F1711" s="36">
        <v>0</v>
      </c>
      <c r="G1711" s="35" t="s">
        <v>5242</v>
      </c>
      <c r="H1711" s="35" t="s">
        <v>5244</v>
      </c>
    </row>
    <row r="1712" spans="1:8" ht="23.1" thickBot="1" x14ac:dyDescent="0.6">
      <c r="A1712" s="44"/>
      <c r="B1712" s="37"/>
      <c r="C1712" s="35"/>
      <c r="D1712" s="35"/>
      <c r="E1712" s="35" t="s">
        <v>5245</v>
      </c>
      <c r="F1712" s="36">
        <v>0</v>
      </c>
      <c r="G1712" s="35" t="s">
        <v>5246</v>
      </c>
      <c r="H1712" s="35" t="s">
        <v>5248</v>
      </c>
    </row>
    <row r="1713" spans="1:8" ht="23.1" thickBot="1" x14ac:dyDescent="0.6">
      <c r="A1713" s="44"/>
      <c r="B1713" s="37"/>
      <c r="C1713" s="35"/>
      <c r="D1713" s="35"/>
      <c r="E1713" s="35" t="s">
        <v>5249</v>
      </c>
      <c r="F1713" s="36">
        <v>0</v>
      </c>
      <c r="G1713" s="35" t="s">
        <v>5250</v>
      </c>
      <c r="H1713" s="35" t="s">
        <v>5252</v>
      </c>
    </row>
    <row r="1714" spans="1:8" ht="23.1" thickBot="1" x14ac:dyDescent="0.6">
      <c r="A1714" s="44"/>
      <c r="B1714" s="37"/>
      <c r="C1714" s="35"/>
      <c r="D1714" s="35"/>
      <c r="E1714" s="35" t="s">
        <v>5253</v>
      </c>
      <c r="F1714" s="36">
        <v>0</v>
      </c>
      <c r="G1714" s="35" t="s">
        <v>5254</v>
      </c>
      <c r="H1714" s="35" t="s">
        <v>5256</v>
      </c>
    </row>
    <row r="1715" spans="1:8" ht="23.1" thickBot="1" x14ac:dyDescent="0.6">
      <c r="A1715" s="44"/>
      <c r="B1715" s="37"/>
      <c r="C1715" s="35"/>
      <c r="D1715" s="35"/>
      <c r="E1715" s="35" t="s">
        <v>5257</v>
      </c>
      <c r="F1715" s="36">
        <v>0</v>
      </c>
      <c r="G1715" s="35" t="s">
        <v>5258</v>
      </c>
      <c r="H1715" s="35" t="s">
        <v>5260</v>
      </c>
    </row>
    <row r="1716" spans="1:8" ht="23.1" thickBot="1" x14ac:dyDescent="0.6">
      <c r="A1716" s="44"/>
      <c r="B1716" s="37"/>
      <c r="C1716" s="35"/>
      <c r="D1716" s="35"/>
      <c r="E1716" s="35" t="s">
        <v>5261</v>
      </c>
      <c r="F1716" s="36">
        <v>0</v>
      </c>
      <c r="G1716" s="35" t="s">
        <v>5262</v>
      </c>
      <c r="H1716" s="35" t="s">
        <v>5264</v>
      </c>
    </row>
    <row r="1717" spans="1:8" ht="23.1" thickBot="1" x14ac:dyDescent="0.6">
      <c r="A1717" s="44"/>
      <c r="B1717" s="37"/>
      <c r="C1717" s="35"/>
      <c r="D1717" s="35"/>
      <c r="E1717" s="35" t="s">
        <v>5265</v>
      </c>
      <c r="F1717" s="36">
        <v>0</v>
      </c>
      <c r="G1717" s="35" t="s">
        <v>920</v>
      </c>
      <c r="H1717" s="35" t="s">
        <v>5267</v>
      </c>
    </row>
    <row r="1718" spans="1:8" ht="23.1" thickBot="1" x14ac:dyDescent="0.6">
      <c r="A1718" s="44"/>
      <c r="B1718" s="37"/>
      <c r="C1718" s="35"/>
      <c r="D1718" s="35"/>
      <c r="E1718" s="35" t="s">
        <v>5268</v>
      </c>
      <c r="F1718" s="36">
        <v>0</v>
      </c>
      <c r="G1718" s="35" t="s">
        <v>5269</v>
      </c>
      <c r="H1718" s="35" t="s">
        <v>5271</v>
      </c>
    </row>
    <row r="1719" spans="1:8" ht="23.1" thickBot="1" x14ac:dyDescent="0.6">
      <c r="A1719" s="44"/>
      <c r="B1719" s="37"/>
      <c r="C1719" s="35"/>
      <c r="D1719" s="35"/>
      <c r="E1719" s="35" t="s">
        <v>5272</v>
      </c>
      <c r="F1719" s="36">
        <v>0</v>
      </c>
      <c r="G1719" s="35" t="s">
        <v>5273</v>
      </c>
      <c r="H1719" s="35" t="s">
        <v>5275</v>
      </c>
    </row>
    <row r="1720" spans="1:8" ht="23.1" thickBot="1" x14ac:dyDescent="0.6">
      <c r="A1720" s="44"/>
      <c r="B1720" s="37"/>
      <c r="C1720" s="35"/>
      <c r="D1720" s="35"/>
      <c r="E1720" s="35" t="s">
        <v>5276</v>
      </c>
      <c r="F1720" s="36">
        <v>0</v>
      </c>
      <c r="G1720" s="35" t="s">
        <v>5277</v>
      </c>
      <c r="H1720" s="35" t="s">
        <v>5279</v>
      </c>
    </row>
    <row r="1721" spans="1:8" ht="23.1" thickBot="1" x14ac:dyDescent="0.6">
      <c r="A1721" s="44"/>
      <c r="B1721" s="37"/>
      <c r="C1721" s="35"/>
      <c r="D1721" s="35"/>
      <c r="E1721" s="35" t="s">
        <v>5280</v>
      </c>
      <c r="F1721" s="36">
        <v>0</v>
      </c>
      <c r="G1721" s="35" t="s">
        <v>5281</v>
      </c>
      <c r="H1721" s="35" t="s">
        <v>5283</v>
      </c>
    </row>
    <row r="1722" spans="1:8" ht="23.1" thickBot="1" x14ac:dyDescent="0.6">
      <c r="A1722" s="44"/>
      <c r="B1722" s="37"/>
      <c r="C1722" s="35"/>
      <c r="D1722" s="35"/>
      <c r="E1722" s="35" t="s">
        <v>5284</v>
      </c>
      <c r="F1722" s="36">
        <v>0</v>
      </c>
      <c r="G1722" s="35" t="s">
        <v>5285</v>
      </c>
      <c r="H1722" s="35" t="s">
        <v>5287</v>
      </c>
    </row>
    <row r="1723" spans="1:8" ht="23.1" thickBot="1" x14ac:dyDescent="0.6">
      <c r="A1723" s="44"/>
      <c r="B1723" s="37"/>
      <c r="C1723" s="35"/>
      <c r="D1723" s="35"/>
      <c r="E1723" s="35" t="s">
        <v>5288</v>
      </c>
      <c r="F1723" s="36">
        <v>0</v>
      </c>
      <c r="G1723" s="35" t="s">
        <v>5289</v>
      </c>
      <c r="H1723" s="35" t="s">
        <v>5291</v>
      </c>
    </row>
    <row r="1724" spans="1:8" ht="34.5" thickBot="1" x14ac:dyDescent="0.6">
      <c r="A1724" s="44"/>
      <c r="B1724" s="37"/>
      <c r="C1724" s="35"/>
      <c r="D1724" s="35"/>
      <c r="E1724" s="35" t="s">
        <v>5292</v>
      </c>
      <c r="F1724" s="36">
        <v>0</v>
      </c>
      <c r="G1724" s="35" t="s">
        <v>5293</v>
      </c>
      <c r="H1724" s="35" t="s">
        <v>5295</v>
      </c>
    </row>
    <row r="1725" spans="1:8" ht="23.1" thickBot="1" x14ac:dyDescent="0.6">
      <c r="A1725" s="44"/>
      <c r="B1725" s="37"/>
      <c r="C1725" s="35"/>
      <c r="D1725" s="35"/>
      <c r="E1725" s="35" t="s">
        <v>5296</v>
      </c>
      <c r="F1725" s="36">
        <v>0</v>
      </c>
      <c r="G1725" s="35" t="s">
        <v>5297</v>
      </c>
      <c r="H1725" s="35" t="s">
        <v>5299</v>
      </c>
    </row>
    <row r="1726" spans="1:8" ht="23.1" thickBot="1" x14ac:dyDescent="0.6">
      <c r="A1726" s="44"/>
      <c r="B1726" s="37"/>
      <c r="C1726" s="35"/>
      <c r="D1726" s="35"/>
      <c r="E1726" s="35" t="s">
        <v>5300</v>
      </c>
      <c r="F1726" s="36">
        <v>0</v>
      </c>
      <c r="G1726" s="35" t="s">
        <v>5301</v>
      </c>
      <c r="H1726" s="35" t="s">
        <v>5303</v>
      </c>
    </row>
    <row r="1727" spans="1:8" ht="23.1" thickBot="1" x14ac:dyDescent="0.6">
      <c r="A1727" s="44"/>
      <c r="B1727" s="37"/>
      <c r="C1727" s="35"/>
      <c r="D1727" s="35"/>
      <c r="E1727" s="35" t="s">
        <v>5304</v>
      </c>
      <c r="F1727" s="36">
        <v>0</v>
      </c>
      <c r="G1727" s="35" t="s">
        <v>5305</v>
      </c>
      <c r="H1727" s="35" t="s">
        <v>5307</v>
      </c>
    </row>
    <row r="1728" spans="1:8" ht="34.5" thickBot="1" x14ac:dyDescent="0.6">
      <c r="A1728" s="44"/>
      <c r="B1728" s="37"/>
      <c r="C1728" s="35"/>
      <c r="D1728" s="35"/>
      <c r="E1728" s="35" t="s">
        <v>5308</v>
      </c>
      <c r="F1728" s="36">
        <v>0</v>
      </c>
      <c r="G1728" s="35" t="s">
        <v>5309</v>
      </c>
      <c r="H1728" s="35" t="s">
        <v>5311</v>
      </c>
    </row>
    <row r="1729" spans="1:8" ht="34.5" thickBot="1" x14ac:dyDescent="0.6">
      <c r="A1729" s="44"/>
      <c r="B1729" s="37"/>
      <c r="C1729" s="35"/>
      <c r="D1729" s="35"/>
      <c r="E1729" s="35" t="s">
        <v>5312</v>
      </c>
      <c r="F1729" s="36">
        <v>0</v>
      </c>
      <c r="G1729" s="35" t="s">
        <v>5313</v>
      </c>
      <c r="H1729" s="35" t="s">
        <v>5315</v>
      </c>
    </row>
    <row r="1730" spans="1:8" ht="23.1" thickBot="1" x14ac:dyDescent="0.6">
      <c r="A1730" s="44"/>
      <c r="B1730" s="37"/>
      <c r="C1730" s="35"/>
      <c r="D1730" s="35"/>
      <c r="E1730" s="35" t="s">
        <v>5316</v>
      </c>
      <c r="F1730" s="36">
        <v>0</v>
      </c>
      <c r="G1730" s="35" t="s">
        <v>5317</v>
      </c>
      <c r="H1730" s="35" t="s">
        <v>5319</v>
      </c>
    </row>
    <row r="1731" spans="1:8" ht="23.1" thickBot="1" x14ac:dyDescent="0.6">
      <c r="A1731" s="44"/>
      <c r="B1731" s="37"/>
      <c r="C1731" s="35"/>
      <c r="D1731" s="35"/>
      <c r="E1731" s="35" t="s">
        <v>5320</v>
      </c>
      <c r="F1731" s="36">
        <v>0</v>
      </c>
      <c r="G1731" s="35" t="s">
        <v>5321</v>
      </c>
      <c r="H1731" s="35" t="s">
        <v>5323</v>
      </c>
    </row>
    <row r="1732" spans="1:8" ht="23.1" thickBot="1" x14ac:dyDescent="0.6">
      <c r="A1732" s="44"/>
      <c r="B1732" s="37"/>
      <c r="C1732" s="35"/>
      <c r="D1732" s="35"/>
      <c r="E1732" s="35" t="s">
        <v>5324</v>
      </c>
      <c r="F1732" s="36">
        <v>0</v>
      </c>
      <c r="G1732" s="35" t="s">
        <v>5325</v>
      </c>
      <c r="H1732" s="35" t="s">
        <v>5327</v>
      </c>
    </row>
    <row r="1733" spans="1:8" ht="23.1" thickBot="1" x14ac:dyDescent="0.6">
      <c r="A1733" s="44"/>
      <c r="B1733" s="37"/>
      <c r="C1733" s="35"/>
      <c r="D1733" s="35"/>
      <c r="E1733" s="35" t="s">
        <v>5328</v>
      </c>
      <c r="F1733" s="36">
        <v>0</v>
      </c>
      <c r="G1733" s="35" t="s">
        <v>5329</v>
      </c>
      <c r="H1733" s="35" t="s">
        <v>5331</v>
      </c>
    </row>
    <row r="1734" spans="1:8" ht="23.1" thickBot="1" x14ac:dyDescent="0.6">
      <c r="A1734" s="44"/>
      <c r="B1734" s="37"/>
      <c r="C1734" s="35"/>
      <c r="D1734" s="35"/>
      <c r="E1734" s="35" t="s">
        <v>5332</v>
      </c>
      <c r="F1734" s="36">
        <v>0</v>
      </c>
      <c r="G1734" s="35" t="s">
        <v>5333</v>
      </c>
      <c r="H1734" s="35" t="s">
        <v>5335</v>
      </c>
    </row>
    <row r="1735" spans="1:8" ht="23.1" thickBot="1" x14ac:dyDescent="0.6">
      <c r="A1735" s="44"/>
      <c r="B1735" s="37"/>
      <c r="C1735" s="35"/>
      <c r="D1735" s="35"/>
      <c r="E1735" s="35" t="s">
        <v>5336</v>
      </c>
      <c r="F1735" s="36">
        <v>0</v>
      </c>
      <c r="G1735" s="35" t="s">
        <v>5337</v>
      </c>
      <c r="H1735" s="35" t="s">
        <v>5339</v>
      </c>
    </row>
    <row r="1736" spans="1:8" ht="23.1" thickBot="1" x14ac:dyDescent="0.6">
      <c r="A1736" s="44"/>
      <c r="B1736" s="37"/>
      <c r="C1736" s="35"/>
      <c r="D1736" s="35"/>
      <c r="E1736" s="35" t="s">
        <v>5340</v>
      </c>
      <c r="F1736" s="36">
        <v>0</v>
      </c>
      <c r="G1736" s="35" t="s">
        <v>5341</v>
      </c>
      <c r="H1736" s="35" t="s">
        <v>5343</v>
      </c>
    </row>
    <row r="1737" spans="1:8" ht="23.1" thickBot="1" x14ac:dyDescent="0.6">
      <c r="A1737" s="44"/>
      <c r="B1737" s="37"/>
      <c r="C1737" s="35"/>
      <c r="D1737" s="35"/>
      <c r="E1737" s="35" t="s">
        <v>5344</v>
      </c>
      <c r="F1737" s="36">
        <v>0</v>
      </c>
      <c r="G1737" s="35" t="s">
        <v>5345</v>
      </c>
      <c r="H1737" s="35" t="s">
        <v>5347</v>
      </c>
    </row>
    <row r="1738" spans="1:8" ht="23.1" thickBot="1" x14ac:dyDescent="0.6">
      <c r="A1738" s="44"/>
      <c r="B1738" s="37"/>
      <c r="C1738" s="35"/>
      <c r="D1738" s="35"/>
      <c r="E1738" s="35" t="s">
        <v>5348</v>
      </c>
      <c r="F1738" s="36">
        <v>0</v>
      </c>
      <c r="G1738" s="35" t="s">
        <v>5349</v>
      </c>
      <c r="H1738" s="35" t="s">
        <v>5351</v>
      </c>
    </row>
    <row r="1739" spans="1:8" ht="23.1" thickBot="1" x14ac:dyDescent="0.6">
      <c r="A1739" s="44"/>
      <c r="B1739" s="37"/>
      <c r="C1739" s="35"/>
      <c r="D1739" s="35"/>
      <c r="E1739" s="35" t="s">
        <v>5352</v>
      </c>
      <c r="F1739" s="36">
        <v>0</v>
      </c>
      <c r="G1739" s="35" t="s">
        <v>5353</v>
      </c>
      <c r="H1739" s="35" t="s">
        <v>5355</v>
      </c>
    </row>
    <row r="1740" spans="1:8" ht="23.1" thickBot="1" x14ac:dyDescent="0.6">
      <c r="A1740" s="44"/>
      <c r="B1740" s="37"/>
      <c r="C1740" s="35"/>
      <c r="D1740" s="35"/>
      <c r="E1740" s="35" t="s">
        <v>5356</v>
      </c>
      <c r="F1740" s="36">
        <v>0</v>
      </c>
      <c r="G1740" s="35" t="s">
        <v>5357</v>
      </c>
      <c r="H1740" s="35" t="s">
        <v>5359</v>
      </c>
    </row>
    <row r="1741" spans="1:8" ht="23.1" thickBot="1" x14ac:dyDescent="0.6">
      <c r="A1741" s="44"/>
      <c r="B1741" s="37"/>
      <c r="C1741" s="35"/>
      <c r="D1741" s="35"/>
      <c r="E1741" s="35" t="s">
        <v>5360</v>
      </c>
      <c r="F1741" s="36">
        <v>0</v>
      </c>
      <c r="G1741" s="35" t="s">
        <v>5361</v>
      </c>
      <c r="H1741" s="35" t="s">
        <v>5363</v>
      </c>
    </row>
    <row r="1742" spans="1:8" ht="23.1" thickBot="1" x14ac:dyDescent="0.6">
      <c r="A1742" s="44"/>
      <c r="B1742" s="37"/>
      <c r="C1742" s="35"/>
      <c r="D1742" s="35"/>
      <c r="E1742" s="35" t="s">
        <v>5364</v>
      </c>
      <c r="F1742" s="36">
        <v>0</v>
      </c>
      <c r="G1742" s="35" t="s">
        <v>5365</v>
      </c>
      <c r="H1742" s="35" t="s">
        <v>5367</v>
      </c>
    </row>
    <row r="1743" spans="1:8" ht="23.1" thickBot="1" x14ac:dyDescent="0.6">
      <c r="A1743" s="44"/>
      <c r="B1743" s="37"/>
      <c r="C1743" s="35"/>
      <c r="D1743" s="35"/>
      <c r="E1743" s="35" t="s">
        <v>5368</v>
      </c>
      <c r="F1743" s="36">
        <v>0</v>
      </c>
      <c r="G1743" s="35" t="s">
        <v>5369</v>
      </c>
      <c r="H1743" s="35" t="s">
        <v>5371</v>
      </c>
    </row>
    <row r="1744" spans="1:8" ht="23.1" thickBot="1" x14ac:dyDescent="0.6">
      <c r="A1744" s="44"/>
      <c r="B1744" s="37"/>
      <c r="C1744" s="35"/>
      <c r="D1744" s="35"/>
      <c r="E1744" s="35" t="s">
        <v>5372</v>
      </c>
      <c r="F1744" s="36">
        <v>0</v>
      </c>
      <c r="G1744" s="35" t="s">
        <v>5373</v>
      </c>
      <c r="H1744" s="35" t="s">
        <v>5375</v>
      </c>
    </row>
    <row r="1745" spans="1:8" ht="23.1" thickBot="1" x14ac:dyDescent="0.6">
      <c r="A1745" s="44"/>
      <c r="B1745" s="37"/>
      <c r="C1745" s="35"/>
      <c r="D1745" s="35"/>
      <c r="E1745" s="35" t="s">
        <v>5376</v>
      </c>
      <c r="F1745" s="36">
        <v>0</v>
      </c>
      <c r="G1745" s="35" t="s">
        <v>5377</v>
      </c>
      <c r="H1745" s="35" t="s">
        <v>5379</v>
      </c>
    </row>
    <row r="1746" spans="1:8" ht="23.1" thickBot="1" x14ac:dyDescent="0.6">
      <c r="A1746" s="44"/>
      <c r="B1746" s="37"/>
      <c r="C1746" s="35"/>
      <c r="D1746" s="35"/>
      <c r="E1746" s="35" t="s">
        <v>5380</v>
      </c>
      <c r="F1746" s="36">
        <v>0</v>
      </c>
      <c r="G1746" s="35" t="s">
        <v>5381</v>
      </c>
      <c r="H1746" s="35" t="s">
        <v>5383</v>
      </c>
    </row>
    <row r="1747" spans="1:8" ht="23.1" thickBot="1" x14ac:dyDescent="0.6">
      <c r="A1747" s="44"/>
      <c r="B1747" s="37"/>
      <c r="C1747" s="35"/>
      <c r="D1747" s="35"/>
      <c r="E1747" s="35" t="s">
        <v>5384</v>
      </c>
      <c r="F1747" s="36">
        <v>0</v>
      </c>
      <c r="G1747" s="35" t="s">
        <v>4318</v>
      </c>
      <c r="H1747" s="35" t="s">
        <v>5386</v>
      </c>
    </row>
    <row r="1748" spans="1:8" ht="23.1" thickBot="1" x14ac:dyDescent="0.6">
      <c r="A1748" s="44"/>
      <c r="B1748" s="37"/>
      <c r="C1748" s="35"/>
      <c r="D1748" s="35"/>
      <c r="E1748" s="35" t="s">
        <v>5387</v>
      </c>
      <c r="F1748" s="36">
        <v>0</v>
      </c>
      <c r="G1748" s="35" t="s">
        <v>5388</v>
      </c>
      <c r="H1748" s="35" t="s">
        <v>5390</v>
      </c>
    </row>
    <row r="1749" spans="1:8" ht="23.1" thickBot="1" x14ac:dyDescent="0.6">
      <c r="A1749" s="44"/>
      <c r="B1749" s="37"/>
      <c r="C1749" s="35"/>
      <c r="D1749" s="35"/>
      <c r="E1749" s="35" t="s">
        <v>5391</v>
      </c>
      <c r="F1749" s="36">
        <v>0</v>
      </c>
      <c r="G1749" s="35" t="s">
        <v>5392</v>
      </c>
      <c r="H1749" s="35" t="s">
        <v>5394</v>
      </c>
    </row>
    <row r="1750" spans="1:8" ht="23.1" thickBot="1" x14ac:dyDescent="0.6">
      <c r="A1750" s="44"/>
      <c r="B1750" s="37"/>
      <c r="C1750" s="35"/>
      <c r="D1750" s="35"/>
      <c r="E1750" s="35" t="s">
        <v>5395</v>
      </c>
      <c r="F1750" s="36">
        <v>0</v>
      </c>
      <c r="G1750" s="35" t="s">
        <v>5396</v>
      </c>
      <c r="H1750" s="35" t="s">
        <v>5398</v>
      </c>
    </row>
    <row r="1751" spans="1:8" ht="23.1" thickBot="1" x14ac:dyDescent="0.6">
      <c r="A1751" s="44"/>
      <c r="B1751" s="37"/>
      <c r="C1751" s="35"/>
      <c r="D1751" s="35"/>
      <c r="E1751" s="35" t="s">
        <v>5399</v>
      </c>
      <c r="F1751" s="36">
        <v>0</v>
      </c>
      <c r="G1751" s="35" t="s">
        <v>5400</v>
      </c>
      <c r="H1751" s="35" t="s">
        <v>5402</v>
      </c>
    </row>
    <row r="1752" spans="1:8" ht="23.1" thickBot="1" x14ac:dyDescent="0.6">
      <c r="A1752" s="44"/>
      <c r="B1752" s="37"/>
      <c r="C1752" s="35"/>
      <c r="D1752" s="35"/>
      <c r="E1752" s="35" t="s">
        <v>5403</v>
      </c>
      <c r="F1752" s="36">
        <v>0</v>
      </c>
      <c r="G1752" s="35" t="s">
        <v>5404</v>
      </c>
      <c r="H1752" s="35" t="s">
        <v>5406</v>
      </c>
    </row>
    <row r="1753" spans="1:8" ht="23.1" thickBot="1" x14ac:dyDescent="0.6">
      <c r="A1753" s="44"/>
      <c r="B1753" s="37"/>
      <c r="C1753" s="35"/>
      <c r="D1753" s="35"/>
      <c r="E1753" s="35" t="s">
        <v>5407</v>
      </c>
      <c r="F1753" s="36">
        <v>0</v>
      </c>
      <c r="G1753" s="35" t="s">
        <v>1257</v>
      </c>
      <c r="H1753" s="35" t="s">
        <v>5409</v>
      </c>
    </row>
    <row r="1754" spans="1:8" ht="23.1" thickBot="1" x14ac:dyDescent="0.6">
      <c r="A1754" s="44"/>
      <c r="B1754" s="37"/>
      <c r="C1754" s="35"/>
      <c r="D1754" s="35"/>
      <c r="E1754" s="35" t="s">
        <v>5410</v>
      </c>
      <c r="F1754" s="36">
        <v>0</v>
      </c>
      <c r="G1754" s="35" t="s">
        <v>5411</v>
      </c>
      <c r="H1754" s="35" t="s">
        <v>5413</v>
      </c>
    </row>
    <row r="1755" spans="1:8" ht="23.1" thickBot="1" x14ac:dyDescent="0.6">
      <c r="A1755" s="44"/>
      <c r="B1755" s="37"/>
      <c r="C1755" s="35"/>
      <c r="D1755" s="35"/>
      <c r="E1755" s="35" t="s">
        <v>5414</v>
      </c>
      <c r="F1755" s="36">
        <v>0</v>
      </c>
      <c r="G1755" s="35" t="s">
        <v>5415</v>
      </c>
      <c r="H1755" s="35" t="s">
        <v>5417</v>
      </c>
    </row>
    <row r="1756" spans="1:8" ht="23.1" thickBot="1" x14ac:dyDescent="0.6">
      <c r="A1756" s="44"/>
      <c r="B1756" s="37"/>
      <c r="C1756" s="35"/>
      <c r="D1756" s="35"/>
      <c r="E1756" s="35" t="s">
        <v>5418</v>
      </c>
      <c r="F1756" s="36">
        <v>0</v>
      </c>
      <c r="G1756" s="35" t="s">
        <v>5419</v>
      </c>
      <c r="H1756" s="35" t="s">
        <v>5421</v>
      </c>
    </row>
    <row r="1757" spans="1:8" ht="23.1" thickBot="1" x14ac:dyDescent="0.6">
      <c r="A1757" s="44"/>
      <c r="B1757" s="37"/>
      <c r="C1757" s="35"/>
      <c r="D1757" s="35"/>
      <c r="E1757" s="35" t="s">
        <v>5422</v>
      </c>
      <c r="F1757" s="36">
        <v>0</v>
      </c>
      <c r="G1757" s="35" t="s">
        <v>5423</v>
      </c>
      <c r="H1757" s="35" t="s">
        <v>5425</v>
      </c>
    </row>
    <row r="1758" spans="1:8" ht="23.1" thickBot="1" x14ac:dyDescent="0.6">
      <c r="A1758" s="44"/>
      <c r="B1758" s="37"/>
      <c r="C1758" s="35"/>
      <c r="D1758" s="35"/>
      <c r="E1758" s="35" t="s">
        <v>5426</v>
      </c>
      <c r="F1758" s="36">
        <v>0</v>
      </c>
      <c r="G1758" s="35" t="s">
        <v>5427</v>
      </c>
      <c r="H1758" s="35" t="s">
        <v>5429</v>
      </c>
    </row>
    <row r="1759" spans="1:8" ht="23.1" thickBot="1" x14ac:dyDescent="0.6">
      <c r="A1759" s="44"/>
      <c r="B1759" s="37"/>
      <c r="C1759" s="35"/>
      <c r="D1759" s="35"/>
      <c r="E1759" s="35" t="s">
        <v>5430</v>
      </c>
      <c r="F1759" s="36">
        <v>0</v>
      </c>
      <c r="G1759" s="35" t="s">
        <v>5431</v>
      </c>
      <c r="H1759" s="35" t="s">
        <v>5433</v>
      </c>
    </row>
    <row r="1760" spans="1:8" ht="23.1" thickBot="1" x14ac:dyDescent="0.6">
      <c r="A1760" s="44"/>
      <c r="B1760" s="37"/>
      <c r="C1760" s="35"/>
      <c r="D1760" s="35"/>
      <c r="E1760" s="35" t="s">
        <v>5434</v>
      </c>
      <c r="F1760" s="36">
        <v>0</v>
      </c>
      <c r="G1760" s="35" t="s">
        <v>5435</v>
      </c>
      <c r="H1760" s="35" t="s">
        <v>5437</v>
      </c>
    </row>
    <row r="1761" spans="1:8" ht="23.1" thickBot="1" x14ac:dyDescent="0.6">
      <c r="A1761" s="44"/>
      <c r="B1761" s="37"/>
      <c r="C1761" s="35"/>
      <c r="D1761" s="35"/>
      <c r="E1761" s="35" t="s">
        <v>5438</v>
      </c>
      <c r="F1761" s="36">
        <v>0</v>
      </c>
      <c r="G1761" s="35" t="s">
        <v>5439</v>
      </c>
      <c r="H1761" s="35" t="s">
        <v>5441</v>
      </c>
    </row>
    <row r="1762" spans="1:8" ht="23.1" thickBot="1" x14ac:dyDescent="0.6">
      <c r="A1762" s="44"/>
      <c r="B1762" s="37"/>
      <c r="C1762" s="35"/>
      <c r="D1762" s="35"/>
      <c r="E1762" s="35" t="s">
        <v>5442</v>
      </c>
      <c r="F1762" s="36">
        <v>0</v>
      </c>
      <c r="G1762" s="35" t="s">
        <v>5443</v>
      </c>
      <c r="H1762" s="35" t="s">
        <v>5445</v>
      </c>
    </row>
    <row r="1763" spans="1:8" ht="23.1" thickBot="1" x14ac:dyDescent="0.6">
      <c r="A1763" s="44"/>
      <c r="B1763" s="37"/>
      <c r="C1763" s="35"/>
      <c r="D1763" s="35"/>
      <c r="E1763" s="35" t="s">
        <v>5446</v>
      </c>
      <c r="F1763" s="36">
        <v>0</v>
      </c>
      <c r="G1763" s="35" t="s">
        <v>5447</v>
      </c>
      <c r="H1763" s="35" t="s">
        <v>5449</v>
      </c>
    </row>
    <row r="1764" spans="1:8" ht="23.1" thickBot="1" x14ac:dyDescent="0.6">
      <c r="A1764" s="44"/>
      <c r="B1764" s="37"/>
      <c r="C1764" s="35"/>
      <c r="D1764" s="35"/>
      <c r="E1764" s="35" t="s">
        <v>5450</v>
      </c>
      <c r="F1764" s="36">
        <v>0</v>
      </c>
      <c r="G1764" s="35" t="s">
        <v>5451</v>
      </c>
      <c r="H1764" s="35" t="s">
        <v>5453</v>
      </c>
    </row>
    <row r="1765" spans="1:8" ht="23.1" thickBot="1" x14ac:dyDescent="0.6">
      <c r="A1765" s="44"/>
      <c r="B1765" s="37"/>
      <c r="C1765" s="35"/>
      <c r="D1765" s="35"/>
      <c r="E1765" s="35" t="s">
        <v>5454</v>
      </c>
      <c r="F1765" s="36">
        <v>0</v>
      </c>
      <c r="G1765" s="35" t="s">
        <v>4123</v>
      </c>
      <c r="H1765" s="35" t="s">
        <v>5456</v>
      </c>
    </row>
    <row r="1766" spans="1:8" ht="23.1" thickBot="1" x14ac:dyDescent="0.6">
      <c r="A1766" s="44"/>
      <c r="B1766" s="37"/>
      <c r="C1766" s="35"/>
      <c r="D1766" s="35"/>
      <c r="E1766" s="35" t="s">
        <v>5457</v>
      </c>
      <c r="F1766" s="36">
        <v>0</v>
      </c>
      <c r="G1766" s="35" t="s">
        <v>5458</v>
      </c>
      <c r="H1766" s="35" t="s">
        <v>5460</v>
      </c>
    </row>
    <row r="1767" spans="1:8" ht="23.1" thickBot="1" x14ac:dyDescent="0.6">
      <c r="A1767" s="44"/>
      <c r="B1767" s="37"/>
      <c r="C1767" s="35"/>
      <c r="D1767" s="35"/>
      <c r="E1767" s="35" t="s">
        <v>5461</v>
      </c>
      <c r="F1767" s="36">
        <v>0</v>
      </c>
      <c r="G1767" s="35" t="s">
        <v>5462</v>
      </c>
      <c r="H1767" s="35" t="s">
        <v>5464</v>
      </c>
    </row>
    <row r="1768" spans="1:8" ht="23.1" thickBot="1" x14ac:dyDescent="0.6">
      <c r="A1768" s="44"/>
      <c r="B1768" s="37"/>
      <c r="C1768" s="35"/>
      <c r="D1768" s="35"/>
      <c r="E1768" s="35" t="s">
        <v>5465</v>
      </c>
      <c r="F1768" s="36">
        <v>0</v>
      </c>
      <c r="G1768" s="35" t="s">
        <v>5466</v>
      </c>
      <c r="H1768" s="35" t="s">
        <v>5468</v>
      </c>
    </row>
    <row r="1769" spans="1:8" ht="23.1" thickBot="1" x14ac:dyDescent="0.6">
      <c r="A1769" s="44"/>
      <c r="B1769" s="37"/>
      <c r="C1769" s="35"/>
      <c r="D1769" s="35"/>
      <c r="E1769" s="35" t="s">
        <v>5469</v>
      </c>
      <c r="F1769" s="36">
        <v>0</v>
      </c>
      <c r="G1769" s="35" t="s">
        <v>5470</v>
      </c>
      <c r="H1769" s="35" t="s">
        <v>5472</v>
      </c>
    </row>
    <row r="1770" spans="1:8" ht="23.1" thickBot="1" x14ac:dyDescent="0.6">
      <c r="A1770" s="44"/>
      <c r="B1770" s="37"/>
      <c r="C1770" s="35"/>
      <c r="D1770" s="35"/>
      <c r="E1770" s="35" t="s">
        <v>5473</v>
      </c>
      <c r="F1770" s="36">
        <v>0</v>
      </c>
      <c r="G1770" s="35" t="s">
        <v>3343</v>
      </c>
      <c r="H1770" s="35" t="s">
        <v>5475</v>
      </c>
    </row>
    <row r="1771" spans="1:8" ht="23.1" thickBot="1" x14ac:dyDescent="0.6">
      <c r="A1771" s="44"/>
      <c r="B1771" s="37"/>
      <c r="C1771" s="35"/>
      <c r="D1771" s="35"/>
      <c r="E1771" s="35" t="s">
        <v>5476</v>
      </c>
      <c r="F1771" s="36">
        <v>0</v>
      </c>
      <c r="G1771" s="35" t="s">
        <v>5477</v>
      </c>
      <c r="H1771" s="35" t="s">
        <v>5479</v>
      </c>
    </row>
    <row r="1772" spans="1:8" ht="14.7" thickBot="1" x14ac:dyDescent="0.6">
      <c r="A1772" s="44"/>
      <c r="B1772" s="37"/>
      <c r="C1772" s="35"/>
      <c r="D1772" s="35"/>
      <c r="E1772" s="35" t="s">
        <v>5481</v>
      </c>
      <c r="F1772" s="36">
        <v>0</v>
      </c>
      <c r="G1772" s="35" t="s">
        <v>5482</v>
      </c>
      <c r="H1772" s="35" t="s">
        <v>5484</v>
      </c>
    </row>
    <row r="1773" spans="1:8" ht="14.7" thickBot="1" x14ac:dyDescent="0.6">
      <c r="A1773" s="44"/>
      <c r="B1773" s="37"/>
      <c r="C1773" s="35"/>
      <c r="D1773" s="35"/>
      <c r="E1773" s="35" t="s">
        <v>5485</v>
      </c>
      <c r="F1773" s="36">
        <v>0</v>
      </c>
      <c r="G1773" s="35" t="s">
        <v>5486</v>
      </c>
      <c r="H1773" s="35" t="s">
        <v>5488</v>
      </c>
    </row>
    <row r="1774" spans="1:8" ht="14.7" thickBot="1" x14ac:dyDescent="0.6">
      <c r="A1774" s="44"/>
      <c r="B1774" s="37"/>
      <c r="C1774" s="35"/>
      <c r="D1774" s="35"/>
      <c r="E1774" s="35" t="s">
        <v>5489</v>
      </c>
      <c r="F1774" s="36">
        <v>0</v>
      </c>
      <c r="G1774" s="35" t="s">
        <v>5480</v>
      </c>
      <c r="H1774" s="35" t="s">
        <v>5491</v>
      </c>
    </row>
    <row r="1775" spans="1:8" ht="23.1" thickBot="1" x14ac:dyDescent="0.6">
      <c r="A1775" s="44"/>
      <c r="B1775" s="37"/>
      <c r="C1775" s="35"/>
      <c r="D1775" s="35"/>
      <c r="E1775" s="35" t="s">
        <v>5492</v>
      </c>
      <c r="F1775" s="36">
        <v>0</v>
      </c>
      <c r="G1775" s="35" t="s">
        <v>5493</v>
      </c>
      <c r="H1775" s="35" t="s">
        <v>5495</v>
      </c>
    </row>
    <row r="1776" spans="1:8" ht="23.1" thickBot="1" x14ac:dyDescent="0.6">
      <c r="A1776" s="44"/>
      <c r="B1776" s="37"/>
      <c r="C1776" s="35"/>
      <c r="D1776" s="35"/>
      <c r="E1776" s="35" t="s">
        <v>5496</v>
      </c>
      <c r="F1776" s="36">
        <v>0</v>
      </c>
      <c r="G1776" s="35" t="s">
        <v>5497</v>
      </c>
      <c r="H1776" s="35" t="s">
        <v>5499</v>
      </c>
    </row>
    <row r="1777" spans="1:8" ht="23.1" thickBot="1" x14ac:dyDescent="0.6">
      <c r="A1777" s="44"/>
      <c r="B1777" s="37"/>
      <c r="C1777" s="35"/>
      <c r="D1777" s="35"/>
      <c r="E1777" s="35" t="s">
        <v>5500</v>
      </c>
      <c r="F1777" s="36">
        <v>0</v>
      </c>
      <c r="G1777" s="35" t="s">
        <v>3026</v>
      </c>
      <c r="H1777" s="35" t="s">
        <v>5502</v>
      </c>
    </row>
    <row r="1778" spans="1:8" ht="23.1" thickBot="1" x14ac:dyDescent="0.6">
      <c r="A1778" s="44"/>
      <c r="B1778" s="37"/>
      <c r="C1778" s="35"/>
      <c r="D1778" s="35"/>
      <c r="E1778" s="35" t="s">
        <v>5503</v>
      </c>
      <c r="F1778" s="36">
        <v>0</v>
      </c>
      <c r="G1778" s="35" t="s">
        <v>456</v>
      </c>
      <c r="H1778" s="35" t="s">
        <v>5505</v>
      </c>
    </row>
    <row r="1779" spans="1:8" ht="23.1" thickBot="1" x14ac:dyDescent="0.6">
      <c r="A1779" s="44"/>
      <c r="B1779" s="37"/>
      <c r="C1779" s="35"/>
      <c r="D1779" s="35"/>
      <c r="E1779" s="35" t="s">
        <v>5506</v>
      </c>
      <c r="F1779" s="36">
        <v>0</v>
      </c>
      <c r="G1779" s="35" t="s">
        <v>5507</v>
      </c>
      <c r="H1779" s="35" t="s">
        <v>5509</v>
      </c>
    </row>
    <row r="1780" spans="1:8" ht="23.1" thickBot="1" x14ac:dyDescent="0.6">
      <c r="A1780" s="44"/>
      <c r="B1780" s="37"/>
      <c r="C1780" s="35"/>
      <c r="D1780" s="35"/>
      <c r="E1780" s="35" t="s">
        <v>5510</v>
      </c>
      <c r="F1780" s="36">
        <v>0</v>
      </c>
      <c r="G1780" s="35" t="s">
        <v>5511</v>
      </c>
      <c r="H1780" s="35" t="s">
        <v>5513</v>
      </c>
    </row>
    <row r="1781" spans="1:8" ht="23.1" thickBot="1" x14ac:dyDescent="0.6">
      <c r="A1781" s="44"/>
      <c r="B1781" s="37"/>
      <c r="C1781" s="35"/>
      <c r="D1781" s="35"/>
      <c r="E1781" s="35" t="s">
        <v>5514</v>
      </c>
      <c r="F1781" s="36">
        <v>0</v>
      </c>
      <c r="G1781" s="35" t="s">
        <v>5515</v>
      </c>
      <c r="H1781" s="35" t="s">
        <v>5517</v>
      </c>
    </row>
    <row r="1782" spans="1:8" ht="14.7" thickBot="1" x14ac:dyDescent="0.6">
      <c r="A1782" s="44"/>
      <c r="B1782" s="37"/>
      <c r="C1782" s="35"/>
      <c r="D1782" s="35"/>
      <c r="E1782" s="35" t="s">
        <v>5518</v>
      </c>
      <c r="F1782" s="36">
        <v>0</v>
      </c>
      <c r="G1782" s="35" t="s">
        <v>4545</v>
      </c>
      <c r="H1782" s="35" t="s">
        <v>5520</v>
      </c>
    </row>
    <row r="1783" spans="1:8" ht="23.1" thickBot="1" x14ac:dyDescent="0.6">
      <c r="A1783" s="44"/>
      <c r="B1783" s="37"/>
      <c r="C1783" s="35"/>
      <c r="D1783" s="35"/>
      <c r="E1783" s="35" t="s">
        <v>5521</v>
      </c>
      <c r="F1783" s="36">
        <v>0</v>
      </c>
      <c r="G1783" s="35" t="s">
        <v>5522</v>
      </c>
      <c r="H1783" s="35" t="s">
        <v>5524</v>
      </c>
    </row>
    <row r="1784" spans="1:8" ht="14.7" thickBot="1" x14ac:dyDescent="0.6">
      <c r="A1784" s="44"/>
      <c r="B1784" s="37"/>
      <c r="C1784" s="35"/>
      <c r="D1784" s="35"/>
      <c r="E1784" s="35" t="s">
        <v>5525</v>
      </c>
      <c r="F1784" s="36">
        <v>0</v>
      </c>
      <c r="G1784" s="35" t="s">
        <v>5526</v>
      </c>
      <c r="H1784" s="35" t="s">
        <v>5528</v>
      </c>
    </row>
    <row r="1785" spans="1:8" ht="23.1" thickBot="1" x14ac:dyDescent="0.6">
      <c r="A1785" s="44"/>
      <c r="B1785" s="37"/>
      <c r="C1785" s="35"/>
      <c r="D1785" s="35"/>
      <c r="E1785" s="35" t="s">
        <v>5529</v>
      </c>
      <c r="F1785" s="36">
        <v>0</v>
      </c>
      <c r="G1785" s="35" t="s">
        <v>5530</v>
      </c>
      <c r="H1785" s="35" t="s">
        <v>5532</v>
      </c>
    </row>
    <row r="1786" spans="1:8" ht="23.1" thickBot="1" x14ac:dyDescent="0.6">
      <c r="A1786" s="44"/>
      <c r="B1786" s="37"/>
      <c r="C1786" s="35"/>
      <c r="D1786" s="35"/>
      <c r="E1786" s="35" t="s">
        <v>5533</v>
      </c>
      <c r="F1786" s="36">
        <v>0</v>
      </c>
      <c r="G1786" s="35" t="s">
        <v>5534</v>
      </c>
      <c r="H1786" s="35" t="s">
        <v>5536</v>
      </c>
    </row>
    <row r="1787" spans="1:8" ht="23.1" thickBot="1" x14ac:dyDescent="0.6">
      <c r="A1787" s="44"/>
      <c r="B1787" s="37"/>
      <c r="C1787" s="35"/>
      <c r="D1787" s="35"/>
      <c r="E1787" s="35" t="s">
        <v>5538</v>
      </c>
      <c r="F1787" s="36">
        <v>0</v>
      </c>
      <c r="G1787" s="35" t="s">
        <v>428</v>
      </c>
      <c r="H1787" s="35" t="s">
        <v>5540</v>
      </c>
    </row>
    <row r="1788" spans="1:8" ht="23.1" thickBot="1" x14ac:dyDescent="0.6">
      <c r="A1788" s="44"/>
      <c r="B1788" s="37"/>
      <c r="C1788" s="35"/>
      <c r="D1788" s="35"/>
      <c r="E1788" s="35" t="s">
        <v>5541</v>
      </c>
      <c r="F1788" s="36">
        <v>0</v>
      </c>
      <c r="G1788" s="35" t="s">
        <v>5542</v>
      </c>
      <c r="H1788" s="35" t="s">
        <v>5544</v>
      </c>
    </row>
    <row r="1789" spans="1:8" ht="23.1" thickBot="1" x14ac:dyDescent="0.6">
      <c r="A1789" s="44"/>
      <c r="B1789" s="37"/>
      <c r="C1789" s="35"/>
      <c r="D1789" s="35"/>
      <c r="E1789" s="35" t="s">
        <v>5545</v>
      </c>
      <c r="F1789" s="36">
        <v>0</v>
      </c>
      <c r="G1789" s="35" t="s">
        <v>5546</v>
      </c>
      <c r="H1789" s="35" t="s">
        <v>5548</v>
      </c>
    </row>
    <row r="1790" spans="1:8" ht="23.1" thickBot="1" x14ac:dyDescent="0.6">
      <c r="A1790" s="44"/>
      <c r="B1790" s="37"/>
      <c r="C1790" s="35"/>
      <c r="D1790" s="35"/>
      <c r="E1790" s="35" t="s">
        <v>5549</v>
      </c>
      <c r="F1790" s="36">
        <v>0</v>
      </c>
      <c r="G1790" s="35" t="s">
        <v>5550</v>
      </c>
      <c r="H1790" s="35" t="s">
        <v>5552</v>
      </c>
    </row>
    <row r="1791" spans="1:8" ht="23.1" thickBot="1" x14ac:dyDescent="0.6">
      <c r="A1791" s="44"/>
      <c r="B1791" s="37"/>
      <c r="C1791" s="35"/>
      <c r="D1791" s="35"/>
      <c r="E1791" s="35" t="s">
        <v>5553</v>
      </c>
      <c r="F1791" s="36">
        <v>0</v>
      </c>
      <c r="G1791" s="35" t="s">
        <v>5554</v>
      </c>
      <c r="H1791" s="35" t="s">
        <v>5556</v>
      </c>
    </row>
    <row r="1792" spans="1:8" ht="23.1" thickBot="1" x14ac:dyDescent="0.6">
      <c r="A1792" s="44"/>
      <c r="B1792" s="37"/>
      <c r="C1792" s="35"/>
      <c r="D1792" s="35"/>
      <c r="E1792" s="35" t="s">
        <v>5557</v>
      </c>
      <c r="F1792" s="36">
        <v>0</v>
      </c>
      <c r="G1792" s="35" t="s">
        <v>5558</v>
      </c>
      <c r="H1792" s="35" t="s">
        <v>5560</v>
      </c>
    </row>
    <row r="1793" spans="1:8" ht="23.1" thickBot="1" x14ac:dyDescent="0.6">
      <c r="A1793" s="44"/>
      <c r="B1793" s="37"/>
      <c r="C1793" s="35"/>
      <c r="D1793" s="35"/>
      <c r="E1793" s="35" t="s">
        <v>5561</v>
      </c>
      <c r="F1793" s="36">
        <v>0</v>
      </c>
      <c r="G1793" s="35" t="s">
        <v>5562</v>
      </c>
      <c r="H1793" s="35" t="s">
        <v>5564</v>
      </c>
    </row>
    <row r="1794" spans="1:8" ht="23.1" thickBot="1" x14ac:dyDescent="0.6">
      <c r="A1794" s="44"/>
      <c r="B1794" s="37"/>
      <c r="C1794" s="35"/>
      <c r="D1794" s="35"/>
      <c r="E1794" s="35" t="s">
        <v>5565</v>
      </c>
      <c r="F1794" s="36">
        <v>0</v>
      </c>
      <c r="G1794" s="35" t="s">
        <v>3855</v>
      </c>
      <c r="H1794" s="35" t="s">
        <v>5567</v>
      </c>
    </row>
    <row r="1795" spans="1:8" ht="23.1" thickBot="1" x14ac:dyDescent="0.6">
      <c r="A1795" s="44"/>
      <c r="B1795" s="37"/>
      <c r="C1795" s="35"/>
      <c r="D1795" s="35"/>
      <c r="E1795" s="35" t="s">
        <v>5568</v>
      </c>
      <c r="F1795" s="36">
        <v>0</v>
      </c>
      <c r="G1795" s="35" t="s">
        <v>5569</v>
      </c>
      <c r="H1795" s="35" t="s">
        <v>5571</v>
      </c>
    </row>
    <row r="1796" spans="1:8" ht="23.1" thickBot="1" x14ac:dyDescent="0.6">
      <c r="A1796" s="44"/>
      <c r="B1796" s="37"/>
      <c r="C1796" s="35"/>
      <c r="D1796" s="35"/>
      <c r="E1796" s="35" t="s">
        <v>5572</v>
      </c>
      <c r="F1796" s="36">
        <v>0</v>
      </c>
      <c r="G1796" s="35" t="s">
        <v>5573</v>
      </c>
      <c r="H1796" s="35" t="s">
        <v>5575</v>
      </c>
    </row>
    <row r="1797" spans="1:8" ht="23.1" thickBot="1" x14ac:dyDescent="0.6">
      <c r="A1797" s="44"/>
      <c r="B1797" s="37"/>
      <c r="C1797" s="35"/>
      <c r="D1797" s="35"/>
      <c r="E1797" s="35" t="s">
        <v>5576</v>
      </c>
      <c r="F1797" s="36">
        <v>0</v>
      </c>
      <c r="G1797" s="35" t="s">
        <v>5577</v>
      </c>
      <c r="H1797" s="35" t="s">
        <v>5579</v>
      </c>
    </row>
    <row r="1798" spans="1:8" ht="23.1" thickBot="1" x14ac:dyDescent="0.6">
      <c r="A1798" s="44"/>
      <c r="B1798" s="37"/>
      <c r="C1798" s="35"/>
      <c r="D1798" s="35"/>
      <c r="E1798" s="35" t="s">
        <v>5580</v>
      </c>
      <c r="F1798" s="36">
        <v>0</v>
      </c>
      <c r="G1798" s="35" t="s">
        <v>5581</v>
      </c>
      <c r="H1798" s="35" t="s">
        <v>5583</v>
      </c>
    </row>
    <row r="1799" spans="1:8" ht="23.1" thickBot="1" x14ac:dyDescent="0.6">
      <c r="A1799" s="44"/>
      <c r="B1799" s="37"/>
      <c r="C1799" s="35"/>
      <c r="D1799" s="35"/>
      <c r="E1799" s="35" t="s">
        <v>5584</v>
      </c>
      <c r="F1799" s="36">
        <v>0</v>
      </c>
      <c r="G1799" s="35" t="s">
        <v>5585</v>
      </c>
      <c r="H1799" s="35" t="s">
        <v>5587</v>
      </c>
    </row>
    <row r="1800" spans="1:8" ht="23.1" thickBot="1" x14ac:dyDescent="0.6">
      <c r="A1800" s="44"/>
      <c r="B1800" s="37"/>
      <c r="C1800" s="35"/>
      <c r="D1800" s="35"/>
      <c r="E1800" s="35" t="s">
        <v>5588</v>
      </c>
      <c r="F1800" s="36">
        <v>0</v>
      </c>
      <c r="G1800" s="35" t="s">
        <v>5589</v>
      </c>
      <c r="H1800" s="35" t="s">
        <v>5591</v>
      </c>
    </row>
    <row r="1801" spans="1:8" ht="23.1" thickBot="1" x14ac:dyDescent="0.6">
      <c r="A1801" s="44"/>
      <c r="B1801" s="37"/>
      <c r="C1801" s="35"/>
      <c r="D1801" s="35"/>
      <c r="E1801" s="35" t="s">
        <v>5592</v>
      </c>
      <c r="F1801" s="36">
        <v>0</v>
      </c>
      <c r="G1801" s="35" t="s">
        <v>5593</v>
      </c>
      <c r="H1801" s="35" t="s">
        <v>5595</v>
      </c>
    </row>
    <row r="1802" spans="1:8" ht="14.7" thickBot="1" x14ac:dyDescent="0.6">
      <c r="A1802" s="44"/>
      <c r="B1802" s="37"/>
      <c r="C1802" s="35"/>
      <c r="D1802" s="35"/>
      <c r="E1802" s="35" t="s">
        <v>5596</v>
      </c>
      <c r="F1802" s="36">
        <v>0</v>
      </c>
      <c r="G1802" s="35" t="s">
        <v>5537</v>
      </c>
      <c r="H1802" s="35" t="s">
        <v>5598</v>
      </c>
    </row>
    <row r="1803" spans="1:8" ht="14.7" thickBot="1" x14ac:dyDescent="0.6">
      <c r="A1803" s="44"/>
      <c r="B1803" s="37"/>
      <c r="C1803" s="35"/>
      <c r="D1803" s="35"/>
      <c r="E1803" s="35" t="s">
        <v>5599</v>
      </c>
      <c r="F1803" s="36">
        <v>0</v>
      </c>
      <c r="G1803" s="35" t="s">
        <v>5600</v>
      </c>
      <c r="H1803" s="35" t="s">
        <v>5602</v>
      </c>
    </row>
    <row r="1804" spans="1:8" ht="23.1" thickBot="1" x14ac:dyDescent="0.6">
      <c r="A1804" s="44"/>
      <c r="B1804" s="37"/>
      <c r="C1804" s="35"/>
      <c r="D1804" s="35"/>
      <c r="E1804" s="35" t="s">
        <v>5603</v>
      </c>
      <c r="F1804" s="36">
        <v>0</v>
      </c>
      <c r="G1804" s="35" t="s">
        <v>5604</v>
      </c>
      <c r="H1804" s="35" t="s">
        <v>5606</v>
      </c>
    </row>
    <row r="1805" spans="1:8" ht="23.1" thickBot="1" x14ac:dyDescent="0.6">
      <c r="A1805" s="44"/>
      <c r="B1805" s="37"/>
      <c r="C1805" s="35"/>
      <c r="D1805" s="35"/>
      <c r="E1805" s="35" t="s">
        <v>5607</v>
      </c>
      <c r="F1805" s="36">
        <v>0</v>
      </c>
      <c r="G1805" s="35" t="s">
        <v>5608</v>
      </c>
      <c r="H1805" s="35" t="s">
        <v>5610</v>
      </c>
    </row>
    <row r="1806" spans="1:8" ht="23.1" thickBot="1" x14ac:dyDescent="0.6">
      <c r="A1806" s="44"/>
      <c r="B1806" s="37"/>
      <c r="C1806" s="35"/>
      <c r="D1806" s="35"/>
      <c r="E1806" s="35" t="s">
        <v>5611</v>
      </c>
      <c r="F1806" s="36">
        <v>0</v>
      </c>
      <c r="G1806" s="35" t="s">
        <v>5612</v>
      </c>
      <c r="H1806" s="35" t="s">
        <v>5614</v>
      </c>
    </row>
    <row r="1807" spans="1:8" ht="23.1" thickBot="1" x14ac:dyDescent="0.6">
      <c r="A1807" s="44"/>
      <c r="B1807" s="37"/>
      <c r="C1807" s="35"/>
      <c r="D1807" s="35"/>
      <c r="E1807" s="35" t="s">
        <v>5615</v>
      </c>
      <c r="F1807" s="36">
        <v>0</v>
      </c>
      <c r="G1807" s="35" t="s">
        <v>5616</v>
      </c>
      <c r="H1807" s="35" t="s">
        <v>5618</v>
      </c>
    </row>
    <row r="1808" spans="1:8" ht="23.1" thickBot="1" x14ac:dyDescent="0.6">
      <c r="A1808" s="44"/>
      <c r="B1808" s="37"/>
      <c r="C1808" s="35"/>
      <c r="D1808" s="35"/>
      <c r="E1808" s="35" t="s">
        <v>5619</v>
      </c>
      <c r="F1808" s="36">
        <v>0</v>
      </c>
      <c r="G1808" s="35" t="s">
        <v>5620</v>
      </c>
      <c r="H1808" s="35" t="s">
        <v>5622</v>
      </c>
    </row>
    <row r="1809" spans="1:8" ht="23.1" thickBot="1" x14ac:dyDescent="0.6">
      <c r="A1809" s="44"/>
      <c r="B1809" s="37"/>
      <c r="C1809" s="35"/>
      <c r="D1809" s="35"/>
      <c r="E1809" s="35" t="s">
        <v>5623</v>
      </c>
      <c r="F1809" s="36">
        <v>0</v>
      </c>
      <c r="G1809" s="35" t="s">
        <v>818</v>
      </c>
      <c r="H1809" s="35" t="s">
        <v>5625</v>
      </c>
    </row>
    <row r="1810" spans="1:8" ht="23.1" thickBot="1" x14ac:dyDescent="0.6">
      <c r="A1810" s="44"/>
      <c r="B1810" s="37"/>
      <c r="C1810" s="35"/>
      <c r="D1810" s="35"/>
      <c r="E1810" s="35" t="s">
        <v>5626</v>
      </c>
      <c r="F1810" s="36">
        <v>0</v>
      </c>
      <c r="G1810" s="35" t="s">
        <v>5627</v>
      </c>
      <c r="H1810" s="35" t="s">
        <v>5629</v>
      </c>
    </row>
    <row r="1811" spans="1:8" ht="23.1" thickBot="1" x14ac:dyDescent="0.6">
      <c r="A1811" s="44"/>
      <c r="B1811" s="37"/>
      <c r="C1811" s="35"/>
      <c r="D1811" s="35"/>
      <c r="E1811" s="35" t="s">
        <v>5630</v>
      </c>
      <c r="F1811" s="36">
        <v>0</v>
      </c>
      <c r="G1811" s="35" t="s">
        <v>4677</v>
      </c>
      <c r="H1811" s="35" t="s">
        <v>5632</v>
      </c>
    </row>
    <row r="1812" spans="1:8" ht="23.1" thickBot="1" x14ac:dyDescent="0.6">
      <c r="A1812" s="44"/>
      <c r="B1812" s="37"/>
      <c r="C1812" s="35"/>
      <c r="D1812" s="35"/>
      <c r="E1812" s="35" t="s">
        <v>5633</v>
      </c>
      <c r="F1812" s="36">
        <v>0</v>
      </c>
      <c r="G1812" s="35" t="s">
        <v>5634</v>
      </c>
      <c r="H1812" s="35" t="s">
        <v>5636</v>
      </c>
    </row>
    <row r="1813" spans="1:8" ht="23.1" thickBot="1" x14ac:dyDescent="0.6">
      <c r="A1813" s="44"/>
      <c r="B1813" s="37"/>
      <c r="C1813" s="35"/>
      <c r="D1813" s="35"/>
      <c r="E1813" s="35" t="s">
        <v>5637</v>
      </c>
      <c r="F1813" s="36">
        <v>0</v>
      </c>
      <c r="G1813" s="35" t="s">
        <v>5638</v>
      </c>
      <c r="H1813" s="35" t="s">
        <v>5640</v>
      </c>
    </row>
    <row r="1814" spans="1:8" ht="23.1" thickBot="1" x14ac:dyDescent="0.6">
      <c r="A1814" s="44"/>
      <c r="B1814" s="37"/>
      <c r="C1814" s="35"/>
      <c r="D1814" s="35"/>
      <c r="E1814" s="35" t="s">
        <v>5641</v>
      </c>
      <c r="F1814" s="36">
        <v>0</v>
      </c>
      <c r="G1814" s="35" t="s">
        <v>1823</v>
      </c>
      <c r="H1814" s="35" t="s">
        <v>5643</v>
      </c>
    </row>
    <row r="1815" spans="1:8" ht="23.1" thickBot="1" x14ac:dyDescent="0.6">
      <c r="A1815" s="44"/>
      <c r="B1815" s="37"/>
      <c r="C1815" s="35"/>
      <c r="D1815" s="35"/>
      <c r="E1815" s="35" t="s">
        <v>5644</v>
      </c>
      <c r="F1815" s="36">
        <v>0</v>
      </c>
      <c r="G1815" s="35" t="s">
        <v>5645</v>
      </c>
      <c r="H1815" s="35" t="s">
        <v>5647</v>
      </c>
    </row>
    <row r="1816" spans="1:8" ht="23.1" thickBot="1" x14ac:dyDescent="0.6">
      <c r="A1816" s="44"/>
      <c r="B1816" s="37"/>
      <c r="C1816" s="35"/>
      <c r="D1816" s="35"/>
      <c r="E1816" s="35" t="s">
        <v>5648</v>
      </c>
      <c r="F1816" s="36">
        <v>0</v>
      </c>
      <c r="G1816" s="35" t="s">
        <v>5649</v>
      </c>
      <c r="H1816" s="35" t="s">
        <v>5651</v>
      </c>
    </row>
    <row r="1817" spans="1:8" ht="23.1" thickBot="1" x14ac:dyDescent="0.6">
      <c r="A1817" s="44"/>
      <c r="B1817" s="37"/>
      <c r="C1817" s="35"/>
      <c r="D1817" s="35"/>
      <c r="E1817" s="35" t="s">
        <v>5652</v>
      </c>
      <c r="F1817" s="36">
        <v>0</v>
      </c>
      <c r="G1817" s="35" t="s">
        <v>5653</v>
      </c>
      <c r="H1817" s="35" t="s">
        <v>5655</v>
      </c>
    </row>
    <row r="1818" spans="1:8" ht="23.1" thickBot="1" x14ac:dyDescent="0.6">
      <c r="A1818" s="44"/>
      <c r="B1818" s="37"/>
      <c r="C1818" s="35"/>
      <c r="D1818" s="35"/>
      <c r="E1818" s="35" t="s">
        <v>5656</v>
      </c>
      <c r="F1818" s="36">
        <v>0</v>
      </c>
      <c r="G1818" s="35" t="s">
        <v>5657</v>
      </c>
      <c r="H1818" s="35" t="s">
        <v>5659</v>
      </c>
    </row>
    <row r="1819" spans="1:8" ht="23.1" thickBot="1" x14ac:dyDescent="0.6">
      <c r="A1819" s="44"/>
      <c r="B1819" s="37"/>
      <c r="C1819" s="35"/>
      <c r="D1819" s="35"/>
      <c r="E1819" s="35" t="s">
        <v>5660</v>
      </c>
      <c r="F1819" s="36">
        <v>0</v>
      </c>
      <c r="G1819" s="35" t="s">
        <v>5661</v>
      </c>
      <c r="H1819" s="35" t="s">
        <v>5663</v>
      </c>
    </row>
    <row r="1820" spans="1:8" ht="23.1" thickBot="1" x14ac:dyDescent="0.6">
      <c r="A1820" s="44"/>
      <c r="B1820" s="37"/>
      <c r="C1820" s="35"/>
      <c r="D1820" s="35"/>
      <c r="E1820" s="35" t="s">
        <v>5664</v>
      </c>
      <c r="F1820" s="36">
        <v>0</v>
      </c>
      <c r="G1820" s="35" t="s">
        <v>4464</v>
      </c>
      <c r="H1820" s="35" t="s">
        <v>5666</v>
      </c>
    </row>
    <row r="1821" spans="1:8" ht="23.1" thickBot="1" x14ac:dyDescent="0.6">
      <c r="A1821" s="44"/>
      <c r="B1821" s="37"/>
      <c r="C1821" s="35"/>
      <c r="D1821" s="35"/>
      <c r="E1821" s="35" t="s">
        <v>5668</v>
      </c>
      <c r="F1821" s="36">
        <v>0</v>
      </c>
      <c r="G1821" s="35" t="s">
        <v>5667</v>
      </c>
      <c r="H1821" s="35" t="s">
        <v>5670</v>
      </c>
    </row>
    <row r="1822" spans="1:8" ht="23.1" thickBot="1" x14ac:dyDescent="0.6">
      <c r="A1822" s="44"/>
      <c r="B1822" s="37"/>
      <c r="C1822" s="35"/>
      <c r="D1822" s="35"/>
      <c r="E1822" s="35" t="s">
        <v>5671</v>
      </c>
      <c r="F1822" s="36">
        <v>0</v>
      </c>
      <c r="G1822" s="35" t="s">
        <v>5672</v>
      </c>
      <c r="H1822" s="35" t="s">
        <v>5674</v>
      </c>
    </row>
    <row r="1823" spans="1:8" ht="23.1" thickBot="1" x14ac:dyDescent="0.6">
      <c r="A1823" s="44"/>
      <c r="B1823" s="37"/>
      <c r="C1823" s="35"/>
      <c r="D1823" s="35"/>
      <c r="E1823" s="35" t="s">
        <v>5675</v>
      </c>
      <c r="F1823" s="36">
        <v>0</v>
      </c>
      <c r="G1823" s="35" t="s">
        <v>5676</v>
      </c>
      <c r="H1823" s="35" t="s">
        <v>5678</v>
      </c>
    </row>
    <row r="1824" spans="1:8" ht="23.1" thickBot="1" x14ac:dyDescent="0.6">
      <c r="A1824" s="44"/>
      <c r="B1824" s="37"/>
      <c r="C1824" s="35"/>
      <c r="D1824" s="35"/>
      <c r="E1824" s="35" t="s">
        <v>5679</v>
      </c>
      <c r="F1824" s="36">
        <v>0</v>
      </c>
      <c r="G1824" s="35" t="s">
        <v>5680</v>
      </c>
      <c r="H1824" s="35" t="s">
        <v>5682</v>
      </c>
    </row>
    <row r="1825" spans="1:8" ht="23.1" thickBot="1" x14ac:dyDescent="0.6">
      <c r="A1825" s="44"/>
      <c r="B1825" s="37"/>
      <c r="C1825" s="35"/>
      <c r="D1825" s="35"/>
      <c r="E1825" s="35" t="s">
        <v>5683</v>
      </c>
      <c r="F1825" s="36">
        <v>0</v>
      </c>
      <c r="G1825" s="35" t="s">
        <v>5684</v>
      </c>
      <c r="H1825" s="35" t="s">
        <v>5686</v>
      </c>
    </row>
    <row r="1826" spans="1:8" ht="23.1" thickBot="1" x14ac:dyDescent="0.6">
      <c r="A1826" s="44"/>
      <c r="B1826" s="37"/>
      <c r="C1826" s="35"/>
      <c r="D1826" s="35"/>
      <c r="E1826" s="35" t="s">
        <v>5687</v>
      </c>
      <c r="F1826" s="36">
        <v>0</v>
      </c>
      <c r="G1826" s="35" t="s">
        <v>5688</v>
      </c>
      <c r="H1826" s="35" t="s">
        <v>5690</v>
      </c>
    </row>
    <row r="1827" spans="1:8" ht="14.7" thickBot="1" x14ac:dyDescent="0.6">
      <c r="A1827" s="44"/>
      <c r="B1827" s="37"/>
      <c r="C1827" s="35"/>
      <c r="D1827" s="35"/>
      <c r="E1827" s="35" t="s">
        <v>5691</v>
      </c>
      <c r="F1827" s="36">
        <v>0</v>
      </c>
      <c r="G1827" s="35" t="s">
        <v>5692</v>
      </c>
      <c r="H1827" s="35" t="s">
        <v>5694</v>
      </c>
    </row>
    <row r="1828" spans="1:8" ht="23.1" thickBot="1" x14ac:dyDescent="0.6">
      <c r="A1828" s="44"/>
      <c r="B1828" s="37"/>
      <c r="C1828" s="35"/>
      <c r="D1828" s="35"/>
      <c r="E1828" s="35" t="s">
        <v>5695</v>
      </c>
      <c r="F1828" s="36">
        <v>0</v>
      </c>
      <c r="G1828" s="35" t="s">
        <v>5696</v>
      </c>
      <c r="H1828" s="35" t="s">
        <v>5698</v>
      </c>
    </row>
    <row r="1829" spans="1:8" ht="23.1" thickBot="1" x14ac:dyDescent="0.6">
      <c r="A1829" s="44"/>
      <c r="B1829" s="37"/>
      <c r="C1829" s="35"/>
      <c r="D1829" s="35"/>
      <c r="E1829" s="35" t="s">
        <v>5699</v>
      </c>
      <c r="F1829" s="36">
        <v>0</v>
      </c>
      <c r="G1829" s="35" t="s">
        <v>5700</v>
      </c>
      <c r="H1829" s="35" t="s">
        <v>5702</v>
      </c>
    </row>
    <row r="1830" spans="1:8" ht="23.1" thickBot="1" x14ac:dyDescent="0.6">
      <c r="A1830" s="44"/>
      <c r="B1830" s="37"/>
      <c r="C1830" s="35"/>
      <c r="D1830" s="35"/>
      <c r="E1830" s="35" t="s">
        <v>5703</v>
      </c>
      <c r="F1830" s="36">
        <v>0</v>
      </c>
      <c r="G1830" s="35" t="s">
        <v>5704</v>
      </c>
      <c r="H1830" s="35" t="s">
        <v>5706</v>
      </c>
    </row>
    <row r="1831" spans="1:8" ht="23.1" thickBot="1" x14ac:dyDescent="0.6">
      <c r="A1831" s="44"/>
      <c r="B1831" s="37"/>
      <c r="C1831" s="35"/>
      <c r="D1831" s="35"/>
      <c r="E1831" s="35" t="s">
        <v>5707</v>
      </c>
      <c r="F1831" s="36">
        <v>0</v>
      </c>
      <c r="G1831" s="35" t="s">
        <v>5708</v>
      </c>
      <c r="H1831" s="35" t="s">
        <v>5710</v>
      </c>
    </row>
    <row r="1832" spans="1:8" ht="23.1" thickBot="1" x14ac:dyDescent="0.6">
      <c r="A1832" s="44"/>
      <c r="B1832" s="37"/>
      <c r="C1832" s="35"/>
      <c r="D1832" s="35"/>
      <c r="E1832" s="35" t="s">
        <v>5711</v>
      </c>
      <c r="F1832" s="36">
        <v>0</v>
      </c>
      <c r="G1832" s="35" t="s">
        <v>5712</v>
      </c>
      <c r="H1832" s="35" t="s">
        <v>5714</v>
      </c>
    </row>
    <row r="1833" spans="1:8" ht="14.7" thickBot="1" x14ac:dyDescent="0.6">
      <c r="A1833" s="44"/>
      <c r="B1833" s="37"/>
      <c r="C1833" s="35"/>
      <c r="D1833" s="35"/>
      <c r="E1833" s="35" t="s">
        <v>5715</v>
      </c>
      <c r="F1833" s="36">
        <v>0</v>
      </c>
      <c r="G1833" s="35" t="s">
        <v>4506</v>
      </c>
      <c r="H1833" s="35" t="s">
        <v>5716</v>
      </c>
    </row>
    <row r="1834" spans="1:8" ht="23.1" thickBot="1" x14ac:dyDescent="0.6">
      <c r="A1834" s="44"/>
      <c r="B1834" s="37"/>
      <c r="C1834" s="35"/>
      <c r="D1834" s="35"/>
      <c r="E1834" s="35" t="s">
        <v>5717</v>
      </c>
      <c r="F1834" s="36">
        <v>0</v>
      </c>
      <c r="G1834" s="35" t="s">
        <v>5718</v>
      </c>
      <c r="H1834" s="35" t="s">
        <v>5720</v>
      </c>
    </row>
    <row r="1835" spans="1:8" ht="23.1" thickBot="1" x14ac:dyDescent="0.6">
      <c r="A1835" s="44"/>
      <c r="B1835" s="37"/>
      <c r="C1835" s="35"/>
      <c r="D1835" s="35"/>
      <c r="E1835" s="35" t="s">
        <v>5721</v>
      </c>
      <c r="F1835" s="36">
        <v>0</v>
      </c>
      <c r="G1835" s="35" t="s">
        <v>5722</v>
      </c>
      <c r="H1835" s="35" t="s">
        <v>5724</v>
      </c>
    </row>
    <row r="1836" spans="1:8" ht="23.1" thickBot="1" x14ac:dyDescent="0.6">
      <c r="A1836" s="44"/>
      <c r="B1836" s="37"/>
      <c r="C1836" s="35"/>
      <c r="D1836" s="35"/>
      <c r="E1836" s="35" t="s">
        <v>5725</v>
      </c>
      <c r="F1836" s="36">
        <v>0</v>
      </c>
      <c r="G1836" s="35" t="s">
        <v>5726</v>
      </c>
      <c r="H1836" s="35" t="s">
        <v>5728</v>
      </c>
    </row>
    <row r="1837" spans="1:8" ht="23.1" thickBot="1" x14ac:dyDescent="0.6">
      <c r="A1837" s="44"/>
      <c r="B1837" s="37"/>
      <c r="C1837" s="35"/>
      <c r="D1837" s="35"/>
      <c r="E1837" s="35" t="s">
        <v>5729</v>
      </c>
      <c r="F1837" s="36">
        <v>0</v>
      </c>
      <c r="G1837" s="35" t="s">
        <v>5730</v>
      </c>
      <c r="H1837" s="35" t="s">
        <v>5732</v>
      </c>
    </row>
    <row r="1838" spans="1:8" ht="23.1" thickBot="1" x14ac:dyDescent="0.6">
      <c r="A1838" s="44"/>
      <c r="B1838" s="37"/>
      <c r="C1838" s="35"/>
      <c r="D1838" s="35"/>
      <c r="E1838" s="35" t="s">
        <v>5733</v>
      </c>
      <c r="F1838" s="36">
        <v>0</v>
      </c>
      <c r="G1838" s="35" t="s">
        <v>5734</v>
      </c>
      <c r="H1838" s="35" t="s">
        <v>5736</v>
      </c>
    </row>
    <row r="1839" spans="1:8" ht="23.1" thickBot="1" x14ac:dyDescent="0.6">
      <c r="A1839" s="44"/>
      <c r="B1839" s="37"/>
      <c r="C1839" s="35"/>
      <c r="D1839" s="35"/>
      <c r="E1839" s="35" t="s">
        <v>5737</v>
      </c>
      <c r="F1839" s="36">
        <v>0</v>
      </c>
      <c r="G1839" s="35" t="s">
        <v>5738</v>
      </c>
      <c r="H1839" s="35" t="s">
        <v>5740</v>
      </c>
    </row>
    <row r="1840" spans="1:8" ht="23.1" thickBot="1" x14ac:dyDescent="0.6">
      <c r="A1840" s="44"/>
      <c r="B1840" s="37"/>
      <c r="C1840" s="35"/>
      <c r="D1840" s="35"/>
      <c r="E1840" s="35" t="s">
        <v>5741</v>
      </c>
      <c r="F1840" s="36">
        <v>0</v>
      </c>
      <c r="G1840" s="35" t="s">
        <v>5742</v>
      </c>
      <c r="H1840" s="35" t="s">
        <v>5744</v>
      </c>
    </row>
    <row r="1841" spans="1:8" ht="23.1" thickBot="1" x14ac:dyDescent="0.6">
      <c r="A1841" s="44"/>
      <c r="B1841" s="37"/>
      <c r="C1841" s="35"/>
      <c r="D1841" s="35"/>
      <c r="E1841" s="35" t="s">
        <v>5745</v>
      </c>
      <c r="F1841" s="36">
        <v>0</v>
      </c>
      <c r="G1841" s="35" t="s">
        <v>5746</v>
      </c>
      <c r="H1841" s="35" t="s">
        <v>5748</v>
      </c>
    </row>
    <row r="1842" spans="1:8" ht="23.1" thickBot="1" x14ac:dyDescent="0.6">
      <c r="A1842" s="44"/>
      <c r="B1842" s="37"/>
      <c r="C1842" s="35"/>
      <c r="D1842" s="35"/>
      <c r="E1842" s="35" t="s">
        <v>5749</v>
      </c>
      <c r="F1842" s="36">
        <v>0</v>
      </c>
      <c r="G1842" s="35" t="s">
        <v>5750</v>
      </c>
      <c r="H1842" s="35" t="s">
        <v>5752</v>
      </c>
    </row>
    <row r="1843" spans="1:8" ht="23.1" thickBot="1" x14ac:dyDescent="0.6">
      <c r="A1843" s="44"/>
      <c r="B1843" s="37"/>
      <c r="C1843" s="35"/>
      <c r="D1843" s="35"/>
      <c r="E1843" s="35" t="s">
        <v>5753</v>
      </c>
      <c r="F1843" s="36">
        <v>0</v>
      </c>
      <c r="G1843" s="35" t="s">
        <v>5754</v>
      </c>
      <c r="H1843" s="35" t="s">
        <v>5756</v>
      </c>
    </row>
    <row r="1844" spans="1:8" ht="23.1" thickBot="1" x14ac:dyDescent="0.6">
      <c r="A1844" s="44"/>
      <c r="B1844" s="37"/>
      <c r="C1844" s="35"/>
      <c r="D1844" s="35"/>
      <c r="E1844" s="35" t="s">
        <v>5757</v>
      </c>
      <c r="F1844" s="36">
        <v>0</v>
      </c>
      <c r="G1844" s="35" t="s">
        <v>5758</v>
      </c>
      <c r="H1844" s="35" t="s">
        <v>5760</v>
      </c>
    </row>
    <row r="1845" spans="1:8" ht="23.1" thickBot="1" x14ac:dyDescent="0.6">
      <c r="A1845" s="44"/>
      <c r="B1845" s="37"/>
      <c r="C1845" s="35"/>
      <c r="D1845" s="35"/>
      <c r="E1845" s="35" t="s">
        <v>5761</v>
      </c>
      <c r="F1845" s="36">
        <v>0</v>
      </c>
      <c r="G1845" s="35" t="s">
        <v>5762</v>
      </c>
      <c r="H1845" s="35" t="s">
        <v>5764</v>
      </c>
    </row>
    <row r="1846" spans="1:8" ht="23.1" thickBot="1" x14ac:dyDescent="0.6">
      <c r="A1846" s="44"/>
      <c r="B1846" s="37"/>
      <c r="C1846" s="35"/>
      <c r="D1846" s="35"/>
      <c r="E1846" s="35" t="s">
        <v>5765</v>
      </c>
      <c r="F1846" s="36">
        <v>0</v>
      </c>
      <c r="G1846" s="35" t="s">
        <v>5766</v>
      </c>
      <c r="H1846" s="35" t="s">
        <v>5768</v>
      </c>
    </row>
    <row r="1847" spans="1:8" ht="23.1" thickBot="1" x14ac:dyDescent="0.6">
      <c r="A1847" s="44"/>
      <c r="B1847" s="37"/>
      <c r="C1847" s="35"/>
      <c r="D1847" s="35"/>
      <c r="E1847" s="35" t="s">
        <v>5769</v>
      </c>
      <c r="F1847" s="36">
        <v>0</v>
      </c>
      <c r="G1847" s="35" t="s">
        <v>464</v>
      </c>
      <c r="H1847" s="35" t="s">
        <v>5771</v>
      </c>
    </row>
    <row r="1848" spans="1:8" ht="23.1" thickBot="1" x14ac:dyDescent="0.6">
      <c r="A1848" s="44"/>
      <c r="B1848" s="37"/>
      <c r="C1848" s="35"/>
      <c r="D1848" s="35"/>
      <c r="E1848" s="35" t="s">
        <v>5772</v>
      </c>
      <c r="F1848" s="36">
        <v>0</v>
      </c>
      <c r="G1848" s="35" t="s">
        <v>282</v>
      </c>
      <c r="H1848" s="35" t="s">
        <v>5774</v>
      </c>
    </row>
    <row r="1849" spans="1:8" ht="23.1" thickBot="1" x14ac:dyDescent="0.6">
      <c r="A1849" s="44"/>
      <c r="B1849" s="37"/>
      <c r="C1849" s="35"/>
      <c r="D1849" s="35"/>
      <c r="E1849" s="35" t="s">
        <v>5775</v>
      </c>
      <c r="F1849" s="36">
        <v>0</v>
      </c>
      <c r="G1849" s="35" t="s">
        <v>5776</v>
      </c>
      <c r="H1849" s="35" t="s">
        <v>5778</v>
      </c>
    </row>
    <row r="1850" spans="1:8" ht="23.1" thickBot="1" x14ac:dyDescent="0.6">
      <c r="A1850" s="44"/>
      <c r="B1850" s="37"/>
      <c r="C1850" s="35"/>
      <c r="D1850" s="35"/>
      <c r="E1850" s="35" t="s">
        <v>5779</v>
      </c>
      <c r="F1850" s="36">
        <v>0</v>
      </c>
      <c r="G1850" s="35" t="s">
        <v>5780</v>
      </c>
      <c r="H1850" s="35" t="s">
        <v>5782</v>
      </c>
    </row>
    <row r="1851" spans="1:8" ht="23.1" thickBot="1" x14ac:dyDescent="0.6">
      <c r="A1851" s="44"/>
      <c r="B1851" s="37"/>
      <c r="C1851" s="35"/>
      <c r="D1851" s="35"/>
      <c r="E1851" s="35" t="s">
        <v>5783</v>
      </c>
      <c r="F1851" s="36">
        <v>0</v>
      </c>
      <c r="G1851" s="35" t="s">
        <v>5784</v>
      </c>
      <c r="H1851" s="35" t="s">
        <v>5786</v>
      </c>
    </row>
    <row r="1852" spans="1:8" ht="23.1" thickBot="1" x14ac:dyDescent="0.6">
      <c r="A1852" s="44"/>
      <c r="B1852" s="37"/>
      <c r="C1852" s="35"/>
      <c r="D1852" s="35"/>
      <c r="E1852" s="35" t="s">
        <v>5787</v>
      </c>
      <c r="F1852" s="36">
        <v>0</v>
      </c>
      <c r="G1852" s="35" t="s">
        <v>5788</v>
      </c>
      <c r="H1852" s="35" t="s">
        <v>5790</v>
      </c>
    </row>
    <row r="1853" spans="1:8" ht="23.1" thickBot="1" x14ac:dyDescent="0.6">
      <c r="A1853" s="44"/>
      <c r="B1853" s="37"/>
      <c r="C1853" s="35"/>
      <c r="D1853" s="35"/>
      <c r="E1853" s="35" t="s">
        <v>5791</v>
      </c>
      <c r="F1853" s="36">
        <v>0</v>
      </c>
      <c r="G1853" s="35" t="s">
        <v>5792</v>
      </c>
      <c r="H1853" s="35" t="s">
        <v>5794</v>
      </c>
    </row>
    <row r="1854" spans="1:8" ht="23.1" thickBot="1" x14ac:dyDescent="0.6">
      <c r="A1854" s="44"/>
      <c r="B1854" s="37"/>
      <c r="C1854" s="35"/>
      <c r="D1854" s="35"/>
      <c r="E1854" s="35" t="s">
        <v>5795</v>
      </c>
      <c r="F1854" s="36">
        <v>0</v>
      </c>
      <c r="G1854" s="35" t="s">
        <v>5796</v>
      </c>
      <c r="H1854" s="35" t="s">
        <v>5798</v>
      </c>
    </row>
    <row r="1855" spans="1:8" ht="23.1" thickBot="1" x14ac:dyDescent="0.6">
      <c r="A1855" s="44"/>
      <c r="B1855" s="37"/>
      <c r="C1855" s="35"/>
      <c r="D1855" s="35"/>
      <c r="E1855" s="35" t="s">
        <v>5799</v>
      </c>
      <c r="F1855" s="36">
        <v>0</v>
      </c>
      <c r="G1855" s="35" t="s">
        <v>5800</v>
      </c>
      <c r="H1855" s="35" t="s">
        <v>5802</v>
      </c>
    </row>
    <row r="1856" spans="1:8" ht="23.1" thickBot="1" x14ac:dyDescent="0.6">
      <c r="A1856" s="44"/>
      <c r="B1856" s="37"/>
      <c r="C1856" s="35"/>
      <c r="D1856" s="35"/>
      <c r="E1856" s="35" t="s">
        <v>5803</v>
      </c>
      <c r="F1856" s="36">
        <v>0</v>
      </c>
      <c r="G1856" s="35" t="s">
        <v>5804</v>
      </c>
      <c r="H1856" s="35" t="s">
        <v>5806</v>
      </c>
    </row>
    <row r="1857" spans="1:8" ht="23.1" thickBot="1" x14ac:dyDescent="0.6">
      <c r="A1857" s="44"/>
      <c r="B1857" s="37"/>
      <c r="C1857" s="35"/>
      <c r="D1857" s="35"/>
      <c r="E1857" s="35" t="s">
        <v>5807</v>
      </c>
      <c r="F1857" s="36">
        <v>0</v>
      </c>
      <c r="G1857" s="35" t="s">
        <v>5808</v>
      </c>
      <c r="H1857" s="35" t="s">
        <v>5810</v>
      </c>
    </row>
    <row r="1858" spans="1:8" ht="23.1" thickBot="1" x14ac:dyDescent="0.6">
      <c r="A1858" s="44"/>
      <c r="B1858" s="37"/>
      <c r="C1858" s="35"/>
      <c r="D1858" s="35"/>
      <c r="E1858" s="35" t="s">
        <v>5811</v>
      </c>
      <c r="F1858" s="36">
        <v>0</v>
      </c>
      <c r="G1858" s="35" t="s">
        <v>5812</v>
      </c>
      <c r="H1858" s="35" t="s">
        <v>5814</v>
      </c>
    </row>
    <row r="1859" spans="1:8" ht="23.1" thickBot="1" x14ac:dyDescent="0.6">
      <c r="A1859" s="44"/>
      <c r="B1859" s="37"/>
      <c r="C1859" s="35"/>
      <c r="D1859" s="35"/>
      <c r="E1859" s="35" t="s">
        <v>5815</v>
      </c>
      <c r="F1859" s="36">
        <v>0</v>
      </c>
      <c r="G1859" s="35" t="s">
        <v>5816</v>
      </c>
      <c r="H1859" s="35" t="s">
        <v>5818</v>
      </c>
    </row>
    <row r="1860" spans="1:8" ht="23.1" thickBot="1" x14ac:dyDescent="0.6">
      <c r="A1860" s="44"/>
      <c r="B1860" s="37"/>
      <c r="C1860" s="35"/>
      <c r="D1860" s="35"/>
      <c r="E1860" s="35" t="s">
        <v>5819</v>
      </c>
      <c r="F1860" s="36">
        <v>0</v>
      </c>
      <c r="G1860" s="35" t="s">
        <v>5820</v>
      </c>
      <c r="H1860" s="35" t="s">
        <v>5822</v>
      </c>
    </row>
    <row r="1861" spans="1:8" ht="23.1" thickBot="1" x14ac:dyDescent="0.6">
      <c r="A1861" s="44"/>
      <c r="B1861" s="37"/>
      <c r="C1861" s="35"/>
      <c r="D1861" s="35"/>
      <c r="E1861" s="35" t="s">
        <v>5823</v>
      </c>
      <c r="F1861" s="36">
        <v>0</v>
      </c>
      <c r="G1861" s="35" t="s">
        <v>5824</v>
      </c>
      <c r="H1861" s="35" t="s">
        <v>5826</v>
      </c>
    </row>
    <row r="1862" spans="1:8" ht="23.1" thickBot="1" x14ac:dyDescent="0.6">
      <c r="A1862" s="44"/>
      <c r="B1862" s="37"/>
      <c r="C1862" s="35"/>
      <c r="D1862" s="35"/>
      <c r="E1862" s="35" t="s">
        <v>5827</v>
      </c>
      <c r="F1862" s="36">
        <v>0</v>
      </c>
      <c r="G1862" s="35" t="s">
        <v>5828</v>
      </c>
      <c r="H1862" s="35" t="s">
        <v>5829</v>
      </c>
    </row>
    <row r="1863" spans="1:8" ht="23.1" thickBot="1" x14ac:dyDescent="0.6">
      <c r="A1863" s="44"/>
      <c r="B1863" s="37"/>
      <c r="C1863" s="35"/>
      <c r="D1863" s="35"/>
      <c r="E1863" s="35" t="s">
        <v>5830</v>
      </c>
      <c r="F1863" s="36">
        <v>0</v>
      </c>
      <c r="G1863" s="35" t="s">
        <v>5831</v>
      </c>
      <c r="H1863" s="35" t="s">
        <v>5833</v>
      </c>
    </row>
    <row r="1864" spans="1:8" ht="34.5" thickBot="1" x14ac:dyDescent="0.6">
      <c r="A1864" s="44"/>
      <c r="B1864" s="37"/>
      <c r="C1864" s="35"/>
      <c r="D1864" s="35"/>
      <c r="E1864" s="35" t="s">
        <v>5834</v>
      </c>
      <c r="F1864" s="36">
        <v>0</v>
      </c>
      <c r="G1864" s="35" t="s">
        <v>5835</v>
      </c>
      <c r="H1864" s="35" t="s">
        <v>5837</v>
      </c>
    </row>
    <row r="1865" spans="1:8" ht="23.1" thickBot="1" x14ac:dyDescent="0.6">
      <c r="A1865" s="44"/>
      <c r="B1865" s="37"/>
      <c r="C1865" s="35"/>
      <c r="D1865" s="35"/>
      <c r="E1865" s="35" t="s">
        <v>5838</v>
      </c>
      <c r="F1865" s="36">
        <v>0</v>
      </c>
      <c r="G1865" s="35" t="s">
        <v>5839</v>
      </c>
      <c r="H1865" s="35" t="s">
        <v>5841</v>
      </c>
    </row>
    <row r="1866" spans="1:8" ht="23.1" thickBot="1" x14ac:dyDescent="0.6">
      <c r="A1866" s="44"/>
      <c r="B1866" s="37"/>
      <c r="C1866" s="35"/>
      <c r="D1866" s="35"/>
      <c r="E1866" s="35" t="s">
        <v>5842</v>
      </c>
      <c r="F1866" s="36">
        <v>0</v>
      </c>
      <c r="G1866" s="35" t="s">
        <v>5843</v>
      </c>
      <c r="H1866" s="35" t="s">
        <v>5845</v>
      </c>
    </row>
    <row r="1867" spans="1:8" ht="23.1" thickBot="1" x14ac:dyDescent="0.6">
      <c r="A1867" s="44"/>
      <c r="B1867" s="37"/>
      <c r="C1867" s="35"/>
      <c r="D1867" s="35"/>
      <c r="E1867" s="35" t="s">
        <v>5846</v>
      </c>
      <c r="F1867" s="36">
        <v>0</v>
      </c>
      <c r="G1867" s="35" t="s">
        <v>5847</v>
      </c>
      <c r="H1867" s="35" t="s">
        <v>5849</v>
      </c>
    </row>
    <row r="1868" spans="1:8" ht="23.1" thickBot="1" x14ac:dyDescent="0.6">
      <c r="A1868" s="44"/>
      <c r="B1868" s="37"/>
      <c r="C1868" s="35"/>
      <c r="D1868" s="35"/>
      <c r="E1868" s="35" t="s">
        <v>5850</v>
      </c>
      <c r="F1868" s="36">
        <v>0</v>
      </c>
      <c r="G1868" s="35" t="s">
        <v>5851</v>
      </c>
      <c r="H1868" s="35" t="s">
        <v>5853</v>
      </c>
    </row>
    <row r="1869" spans="1:8" ht="23.1" thickBot="1" x14ac:dyDescent="0.6">
      <c r="A1869" s="44"/>
      <c r="B1869" s="37"/>
      <c r="C1869" s="35"/>
      <c r="D1869" s="35"/>
      <c r="E1869" s="35" t="s">
        <v>5854</v>
      </c>
      <c r="F1869" s="36">
        <v>0</v>
      </c>
      <c r="G1869" s="35" t="s">
        <v>5855</v>
      </c>
      <c r="H1869" s="35" t="s">
        <v>5857</v>
      </c>
    </row>
    <row r="1870" spans="1:8" ht="23.1" thickBot="1" x14ac:dyDescent="0.6">
      <c r="A1870" s="44"/>
      <c r="B1870" s="37"/>
      <c r="C1870" s="35"/>
      <c r="D1870" s="35"/>
      <c r="E1870" s="35" t="s">
        <v>5858</v>
      </c>
      <c r="F1870" s="36">
        <v>0</v>
      </c>
      <c r="G1870" s="35" t="s">
        <v>5859</v>
      </c>
      <c r="H1870" s="35" t="s">
        <v>5861</v>
      </c>
    </row>
    <row r="1871" spans="1:8" ht="23.1" thickBot="1" x14ac:dyDescent="0.6">
      <c r="A1871" s="44"/>
      <c r="B1871" s="37"/>
      <c r="C1871" s="35"/>
      <c r="D1871" s="35"/>
      <c r="E1871" s="35" t="s">
        <v>5862</v>
      </c>
      <c r="F1871" s="36">
        <v>0</v>
      </c>
      <c r="G1871" s="35" t="s">
        <v>5863</v>
      </c>
      <c r="H1871" s="35" t="s">
        <v>5865</v>
      </c>
    </row>
    <row r="1872" spans="1:8" ht="23.1" thickBot="1" x14ac:dyDescent="0.6">
      <c r="A1872" s="44"/>
      <c r="B1872" s="37"/>
      <c r="C1872" s="35"/>
      <c r="D1872" s="35"/>
      <c r="E1872" s="35" t="s">
        <v>5866</v>
      </c>
      <c r="F1872" s="36">
        <v>0</v>
      </c>
      <c r="G1872" s="35" t="s">
        <v>5867</v>
      </c>
      <c r="H1872" s="35" t="s">
        <v>5869</v>
      </c>
    </row>
    <row r="1873" spans="1:8" ht="23.1" thickBot="1" x14ac:dyDescent="0.6">
      <c r="A1873" s="44"/>
      <c r="B1873" s="37"/>
      <c r="C1873" s="35"/>
      <c r="D1873" s="35"/>
      <c r="E1873" s="35" t="s">
        <v>5870</v>
      </c>
      <c r="F1873" s="36">
        <v>0</v>
      </c>
      <c r="G1873" s="35" t="s">
        <v>1079</v>
      </c>
      <c r="H1873" s="35" t="s">
        <v>5872</v>
      </c>
    </row>
    <row r="1874" spans="1:8" ht="23.1" thickBot="1" x14ac:dyDescent="0.6">
      <c r="A1874" s="44"/>
      <c r="B1874" s="37"/>
      <c r="C1874" s="35"/>
      <c r="D1874" s="35"/>
      <c r="E1874" s="35" t="s">
        <v>5873</v>
      </c>
      <c r="F1874" s="36">
        <v>0</v>
      </c>
      <c r="G1874" s="35" t="s">
        <v>5874</v>
      </c>
      <c r="H1874" s="35" t="s">
        <v>5876</v>
      </c>
    </row>
    <row r="1875" spans="1:8" ht="23.1" thickBot="1" x14ac:dyDescent="0.6">
      <c r="A1875" s="44"/>
      <c r="B1875" s="37"/>
      <c r="C1875" s="35"/>
      <c r="D1875" s="35"/>
      <c r="E1875" s="35" t="s">
        <v>5877</v>
      </c>
      <c r="F1875" s="36">
        <v>0</v>
      </c>
      <c r="G1875" s="35" t="s">
        <v>5878</v>
      </c>
      <c r="H1875" s="35" t="s">
        <v>5880</v>
      </c>
    </row>
    <row r="1876" spans="1:8" ht="23.1" thickBot="1" x14ac:dyDescent="0.6">
      <c r="A1876" s="44"/>
      <c r="B1876" s="37"/>
      <c r="C1876" s="35"/>
      <c r="D1876" s="35"/>
      <c r="E1876" s="35" t="s">
        <v>5881</v>
      </c>
      <c r="F1876" s="36">
        <v>0</v>
      </c>
      <c r="G1876" s="35" t="s">
        <v>5882</v>
      </c>
      <c r="H1876" s="35" t="s">
        <v>5884</v>
      </c>
    </row>
    <row r="1877" spans="1:8" ht="23.1" thickBot="1" x14ac:dyDescent="0.6">
      <c r="A1877" s="44"/>
      <c r="B1877" s="37"/>
      <c r="C1877" s="35"/>
      <c r="D1877" s="35"/>
      <c r="E1877" s="35" t="s">
        <v>5885</v>
      </c>
      <c r="F1877" s="36">
        <v>0</v>
      </c>
      <c r="G1877" s="35" t="s">
        <v>5886</v>
      </c>
      <c r="H1877" s="35" t="s">
        <v>5888</v>
      </c>
    </row>
    <row r="1878" spans="1:8" ht="23.1" thickBot="1" x14ac:dyDescent="0.6">
      <c r="A1878" s="44"/>
      <c r="B1878" s="37"/>
      <c r="C1878" s="35"/>
      <c r="D1878" s="35"/>
      <c r="E1878" s="35" t="s">
        <v>5889</v>
      </c>
      <c r="F1878" s="36">
        <v>0</v>
      </c>
      <c r="G1878" s="35" t="s">
        <v>5890</v>
      </c>
      <c r="H1878" s="35" t="s">
        <v>5892</v>
      </c>
    </row>
    <row r="1879" spans="1:8" ht="23.1" thickBot="1" x14ac:dyDescent="0.6">
      <c r="A1879" s="44"/>
      <c r="B1879" s="37"/>
      <c r="C1879" s="35"/>
      <c r="D1879" s="35"/>
      <c r="E1879" s="35" t="s">
        <v>5893</v>
      </c>
      <c r="F1879" s="36">
        <v>0</v>
      </c>
      <c r="G1879" s="35" t="s">
        <v>5894</v>
      </c>
      <c r="H1879" s="35" t="s">
        <v>5896</v>
      </c>
    </row>
    <row r="1880" spans="1:8" ht="23.1" thickBot="1" x14ac:dyDescent="0.6">
      <c r="A1880" s="44"/>
      <c r="B1880" s="37"/>
      <c r="C1880" s="35"/>
      <c r="D1880" s="35"/>
      <c r="E1880" s="35" t="s">
        <v>5897</v>
      </c>
      <c r="F1880" s="36">
        <v>0</v>
      </c>
      <c r="G1880" s="35" t="s">
        <v>5898</v>
      </c>
      <c r="H1880" s="35" t="s">
        <v>5900</v>
      </c>
    </row>
    <row r="1881" spans="1:8" ht="23.1" thickBot="1" x14ac:dyDescent="0.6">
      <c r="A1881" s="44"/>
      <c r="B1881" s="37"/>
      <c r="C1881" s="35"/>
      <c r="D1881" s="35"/>
      <c r="E1881" s="35" t="s">
        <v>5902</v>
      </c>
      <c r="F1881" s="36">
        <v>0</v>
      </c>
      <c r="G1881" s="35" t="s">
        <v>5903</v>
      </c>
      <c r="H1881" s="35" t="s">
        <v>5905</v>
      </c>
    </row>
    <row r="1882" spans="1:8" ht="23.1" thickBot="1" x14ac:dyDescent="0.6">
      <c r="A1882" s="44"/>
      <c r="B1882" s="37"/>
      <c r="C1882" s="35"/>
      <c r="D1882" s="35"/>
      <c r="E1882" s="35" t="s">
        <v>5906</v>
      </c>
      <c r="F1882" s="36">
        <v>0</v>
      </c>
      <c r="G1882" s="35" t="s">
        <v>5907</v>
      </c>
      <c r="H1882" s="35" t="s">
        <v>5909</v>
      </c>
    </row>
    <row r="1883" spans="1:8" ht="23.1" thickBot="1" x14ac:dyDescent="0.6">
      <c r="A1883" s="44"/>
      <c r="B1883" s="37"/>
      <c r="C1883" s="35"/>
      <c r="D1883" s="35"/>
      <c r="E1883" s="35" t="s">
        <v>5910</v>
      </c>
      <c r="F1883" s="36">
        <v>0</v>
      </c>
      <c r="G1883" s="35" t="s">
        <v>5911</v>
      </c>
      <c r="H1883" s="35" t="s">
        <v>5913</v>
      </c>
    </row>
    <row r="1884" spans="1:8" ht="23.1" thickBot="1" x14ac:dyDescent="0.6">
      <c r="A1884" s="44"/>
      <c r="B1884" s="37"/>
      <c r="C1884" s="35"/>
      <c r="D1884" s="35"/>
      <c r="E1884" s="35" t="s">
        <v>5914</v>
      </c>
      <c r="F1884" s="36">
        <v>0</v>
      </c>
      <c r="G1884" s="35" t="s">
        <v>5915</v>
      </c>
      <c r="H1884" s="35" t="s">
        <v>5917</v>
      </c>
    </row>
    <row r="1885" spans="1:8" ht="23.1" thickBot="1" x14ac:dyDescent="0.6">
      <c r="A1885" s="44"/>
      <c r="B1885" s="37"/>
      <c r="C1885" s="35"/>
      <c r="D1885" s="35"/>
      <c r="E1885" s="35" t="s">
        <v>5918</v>
      </c>
      <c r="F1885" s="36">
        <v>0</v>
      </c>
      <c r="G1885" s="35" t="s">
        <v>5919</v>
      </c>
      <c r="H1885" s="35" t="s">
        <v>5921</v>
      </c>
    </row>
    <row r="1886" spans="1:8" ht="23.1" thickBot="1" x14ac:dyDescent="0.6">
      <c r="A1886" s="44"/>
      <c r="B1886" s="37"/>
      <c r="C1886" s="35"/>
      <c r="D1886" s="35"/>
      <c r="E1886" s="35" t="s">
        <v>5922</v>
      </c>
      <c r="F1886" s="36">
        <v>0</v>
      </c>
      <c r="G1886" s="35" t="s">
        <v>5923</v>
      </c>
      <c r="H1886" s="35" t="s">
        <v>5925</v>
      </c>
    </row>
    <row r="1887" spans="1:8" ht="23.1" thickBot="1" x14ac:dyDescent="0.6">
      <c r="A1887" s="44"/>
      <c r="B1887" s="37"/>
      <c r="C1887" s="35"/>
      <c r="D1887" s="35"/>
      <c r="E1887" s="35" t="s">
        <v>5926</v>
      </c>
      <c r="F1887" s="36">
        <v>0</v>
      </c>
      <c r="G1887" s="35" t="s">
        <v>5901</v>
      </c>
      <c r="H1887" s="35" t="s">
        <v>5928</v>
      </c>
    </row>
    <row r="1888" spans="1:8" ht="23.1" thickBot="1" x14ac:dyDescent="0.6">
      <c r="A1888" s="44"/>
      <c r="B1888" s="37"/>
      <c r="C1888" s="35"/>
      <c r="D1888" s="35"/>
      <c r="E1888" s="35" t="s">
        <v>5929</v>
      </c>
      <c r="F1888" s="36">
        <v>0</v>
      </c>
      <c r="G1888" s="35" t="s">
        <v>5930</v>
      </c>
      <c r="H1888" s="35" t="s">
        <v>5932</v>
      </c>
    </row>
    <row r="1889" spans="1:8" ht="23.1" thickBot="1" x14ac:dyDescent="0.6">
      <c r="A1889" s="44"/>
      <c r="B1889" s="37"/>
      <c r="C1889" s="35"/>
      <c r="D1889" s="35"/>
      <c r="E1889" s="35" t="s">
        <v>5933</v>
      </c>
      <c r="F1889" s="36">
        <v>0</v>
      </c>
      <c r="G1889" s="35" t="s">
        <v>5934</v>
      </c>
      <c r="H1889" s="35" t="s">
        <v>5936</v>
      </c>
    </row>
    <row r="1890" spans="1:8" ht="23.1" thickBot="1" x14ac:dyDescent="0.6">
      <c r="A1890" s="44"/>
      <c r="B1890" s="37"/>
      <c r="C1890" s="35"/>
      <c r="D1890" s="35"/>
      <c r="E1890" s="35" t="s">
        <v>5937</v>
      </c>
      <c r="F1890" s="36">
        <v>0</v>
      </c>
      <c r="G1890" s="35" t="s">
        <v>5938</v>
      </c>
      <c r="H1890" s="35" t="s">
        <v>5940</v>
      </c>
    </row>
    <row r="1891" spans="1:8" ht="23.1" thickBot="1" x14ac:dyDescent="0.6">
      <c r="A1891" s="44"/>
      <c r="B1891" s="37"/>
      <c r="C1891" s="35"/>
      <c r="D1891" s="35"/>
      <c r="E1891" s="35" t="s">
        <v>5941</v>
      </c>
      <c r="F1891" s="36">
        <v>0</v>
      </c>
      <c r="G1891" s="35" t="s">
        <v>5942</v>
      </c>
      <c r="H1891" s="35" t="s">
        <v>5944</v>
      </c>
    </row>
    <row r="1892" spans="1:8" ht="23.1" thickBot="1" x14ac:dyDescent="0.6">
      <c r="A1892" s="44"/>
      <c r="B1892" s="37"/>
      <c r="C1892" s="35"/>
      <c r="D1892" s="35"/>
      <c r="E1892" s="35" t="s">
        <v>5945</v>
      </c>
      <c r="F1892" s="36">
        <v>0</v>
      </c>
      <c r="G1892" s="35" t="s">
        <v>5946</v>
      </c>
      <c r="H1892" s="35" t="s">
        <v>5948</v>
      </c>
    </row>
    <row r="1893" spans="1:8" ht="23.1" thickBot="1" x14ac:dyDescent="0.6">
      <c r="A1893" s="44"/>
      <c r="B1893" s="37"/>
      <c r="C1893" s="35"/>
      <c r="D1893" s="35"/>
      <c r="E1893" s="35" t="s">
        <v>5949</v>
      </c>
      <c r="F1893" s="36">
        <v>0</v>
      </c>
      <c r="G1893" s="35" t="s">
        <v>5950</v>
      </c>
      <c r="H1893" s="35" t="s">
        <v>5952</v>
      </c>
    </row>
    <row r="1894" spans="1:8" ht="23.1" thickBot="1" x14ac:dyDescent="0.6">
      <c r="A1894" s="44"/>
      <c r="B1894" s="37"/>
      <c r="C1894" s="35"/>
      <c r="D1894" s="35"/>
      <c r="E1894" s="35" t="s">
        <v>5954</v>
      </c>
      <c r="F1894" s="36">
        <v>0</v>
      </c>
      <c r="G1894" s="35" t="s">
        <v>5955</v>
      </c>
      <c r="H1894" s="35" t="s">
        <v>5957</v>
      </c>
    </row>
    <row r="1895" spans="1:8" ht="23.1" thickBot="1" x14ac:dyDescent="0.6">
      <c r="A1895" s="44"/>
      <c r="B1895" s="37"/>
      <c r="C1895" s="35"/>
      <c r="D1895" s="35"/>
      <c r="E1895" s="35" t="s">
        <v>5958</v>
      </c>
      <c r="F1895" s="36">
        <v>0</v>
      </c>
      <c r="G1895" s="35" t="s">
        <v>5959</v>
      </c>
      <c r="H1895" s="35" t="s">
        <v>5961</v>
      </c>
    </row>
    <row r="1896" spans="1:8" ht="23.1" thickBot="1" x14ac:dyDescent="0.6">
      <c r="A1896" s="44"/>
      <c r="B1896" s="37"/>
      <c r="C1896" s="35"/>
      <c r="D1896" s="35"/>
      <c r="E1896" s="35" t="s">
        <v>5962</v>
      </c>
      <c r="F1896" s="36">
        <v>0</v>
      </c>
      <c r="G1896" s="35" t="s">
        <v>5963</v>
      </c>
      <c r="H1896" s="35" t="s">
        <v>5965</v>
      </c>
    </row>
    <row r="1897" spans="1:8" ht="23.1" thickBot="1" x14ac:dyDescent="0.6">
      <c r="A1897" s="44"/>
      <c r="B1897" s="37"/>
      <c r="C1897" s="35"/>
      <c r="D1897" s="35"/>
      <c r="E1897" s="35" t="s">
        <v>5966</v>
      </c>
      <c r="F1897" s="36">
        <v>0</v>
      </c>
      <c r="G1897" s="35" t="s">
        <v>5967</v>
      </c>
      <c r="H1897" s="35" t="s">
        <v>5969</v>
      </c>
    </row>
    <row r="1898" spans="1:8" ht="23.1" thickBot="1" x14ac:dyDescent="0.6">
      <c r="A1898" s="44"/>
      <c r="B1898" s="37"/>
      <c r="C1898" s="35"/>
      <c r="D1898" s="35"/>
      <c r="E1898" s="35" t="s">
        <v>5970</v>
      </c>
      <c r="F1898" s="36">
        <v>0</v>
      </c>
      <c r="G1898" s="35" t="s">
        <v>5971</v>
      </c>
      <c r="H1898" s="35" t="s">
        <v>5973</v>
      </c>
    </row>
    <row r="1899" spans="1:8" ht="23.1" thickBot="1" x14ac:dyDescent="0.6">
      <c r="A1899" s="44"/>
      <c r="B1899" s="37"/>
      <c r="C1899" s="35"/>
      <c r="D1899" s="35"/>
      <c r="E1899" s="35" t="s">
        <v>5974</v>
      </c>
      <c r="F1899" s="36">
        <v>0</v>
      </c>
      <c r="G1899" s="35" t="s">
        <v>5975</v>
      </c>
      <c r="H1899" s="35" t="s">
        <v>5977</v>
      </c>
    </row>
    <row r="1900" spans="1:8" ht="23.1" thickBot="1" x14ac:dyDescent="0.6">
      <c r="A1900" s="44"/>
      <c r="B1900" s="37"/>
      <c r="C1900" s="35"/>
      <c r="D1900" s="35"/>
      <c r="E1900" s="35" t="s">
        <v>5978</v>
      </c>
      <c r="F1900" s="36">
        <v>0</v>
      </c>
      <c r="G1900" s="35" t="s">
        <v>5979</v>
      </c>
      <c r="H1900" s="35" t="s">
        <v>5981</v>
      </c>
    </row>
    <row r="1901" spans="1:8" ht="23.1" thickBot="1" x14ac:dyDescent="0.6">
      <c r="A1901" s="44"/>
      <c r="B1901" s="37"/>
      <c r="C1901" s="35"/>
      <c r="D1901" s="35"/>
      <c r="E1901" s="35" t="s">
        <v>5982</v>
      </c>
      <c r="F1901" s="36">
        <v>0</v>
      </c>
      <c r="G1901" s="35" t="s">
        <v>5953</v>
      </c>
      <c r="H1901" s="35" t="s">
        <v>5984</v>
      </c>
    </row>
    <row r="1902" spans="1:8" ht="23.1" thickBot="1" x14ac:dyDescent="0.6">
      <c r="A1902" s="44"/>
      <c r="B1902" s="37"/>
      <c r="C1902" s="35"/>
      <c r="D1902" s="35"/>
      <c r="E1902" s="35" t="s">
        <v>5985</v>
      </c>
      <c r="F1902" s="36">
        <v>0</v>
      </c>
      <c r="G1902" s="35" t="s">
        <v>5986</v>
      </c>
      <c r="H1902" s="35" t="s">
        <v>5988</v>
      </c>
    </row>
    <row r="1903" spans="1:8" ht="23.1" thickBot="1" x14ac:dyDescent="0.6">
      <c r="A1903" s="44"/>
      <c r="B1903" s="37"/>
      <c r="C1903" s="35"/>
      <c r="D1903" s="35"/>
      <c r="E1903" s="35" t="s">
        <v>5989</v>
      </c>
      <c r="F1903" s="36">
        <v>0</v>
      </c>
      <c r="G1903" s="35" t="s">
        <v>5990</v>
      </c>
      <c r="H1903" s="35" t="s">
        <v>5992</v>
      </c>
    </row>
    <row r="1904" spans="1:8" ht="34.5" thickBot="1" x14ac:dyDescent="0.6">
      <c r="A1904" s="44" t="s">
        <v>7909</v>
      </c>
      <c r="B1904" s="37" t="s">
        <v>6383</v>
      </c>
      <c r="C1904" s="35"/>
      <c r="D1904" s="35"/>
      <c r="E1904" s="35" t="s">
        <v>5993</v>
      </c>
      <c r="F1904" s="36">
        <v>0</v>
      </c>
      <c r="G1904" s="35" t="s">
        <v>5994</v>
      </c>
      <c r="H1904" s="35" t="s">
        <v>5996</v>
      </c>
    </row>
    <row r="1905" spans="1:8" ht="34.5" thickBot="1" x14ac:dyDescent="0.6">
      <c r="A1905" s="44" t="s">
        <v>7910</v>
      </c>
      <c r="B1905" s="37" t="s">
        <v>6684</v>
      </c>
      <c r="C1905" s="35"/>
      <c r="D1905" s="35"/>
      <c r="E1905" s="35" t="s">
        <v>5997</v>
      </c>
      <c r="F1905" s="36">
        <v>0</v>
      </c>
      <c r="G1905" s="35" t="s">
        <v>5998</v>
      </c>
      <c r="H1905" s="35" t="s">
        <v>6000</v>
      </c>
    </row>
    <row r="1906" spans="1:8" ht="23.1" thickBot="1" x14ac:dyDescent="0.6">
      <c r="A1906" s="44" t="s">
        <v>7911</v>
      </c>
      <c r="B1906" s="37" t="s">
        <v>6718</v>
      </c>
      <c r="C1906" s="35" t="s">
        <v>6779</v>
      </c>
      <c r="D1906" s="35" t="s">
        <v>7912</v>
      </c>
      <c r="E1906" s="35" t="s">
        <v>6002</v>
      </c>
      <c r="F1906" s="36">
        <v>0</v>
      </c>
      <c r="G1906" s="35" t="s">
        <v>6003</v>
      </c>
      <c r="H1906" s="35" t="s">
        <v>6005</v>
      </c>
    </row>
    <row r="1907" spans="1:8" ht="23.1" thickBot="1" x14ac:dyDescent="0.6">
      <c r="A1907" s="44" t="s">
        <v>7913</v>
      </c>
      <c r="B1907" s="37" t="s">
        <v>6076</v>
      </c>
      <c r="C1907" s="35" t="s">
        <v>6782</v>
      </c>
      <c r="D1907" s="35" t="s">
        <v>7914</v>
      </c>
      <c r="E1907" s="35" t="s">
        <v>6006</v>
      </c>
      <c r="F1907" s="36">
        <v>0</v>
      </c>
      <c r="G1907" s="35" t="s">
        <v>6007</v>
      </c>
      <c r="H1907" s="35" t="s">
        <v>6009</v>
      </c>
    </row>
    <row r="1908" spans="1:8" ht="23.1" thickBot="1" x14ac:dyDescent="0.6">
      <c r="A1908" s="44" t="s">
        <v>7915</v>
      </c>
      <c r="B1908" s="37" t="s">
        <v>6359</v>
      </c>
      <c r="C1908" s="35"/>
      <c r="D1908" s="35"/>
      <c r="E1908" s="35" t="s">
        <v>6010</v>
      </c>
      <c r="F1908" s="36">
        <v>0</v>
      </c>
      <c r="G1908" s="35" t="s">
        <v>6011</v>
      </c>
      <c r="H1908" s="35" t="s">
        <v>6013</v>
      </c>
    </row>
    <row r="1909" spans="1:8" ht="23.1" thickBot="1" x14ac:dyDescent="0.6">
      <c r="A1909" s="44" t="s">
        <v>7916</v>
      </c>
      <c r="B1909" s="39" t="s">
        <v>6725</v>
      </c>
      <c r="C1909" s="35"/>
      <c r="D1909" s="35"/>
      <c r="E1909" s="35" t="s">
        <v>6014</v>
      </c>
      <c r="F1909" s="36">
        <v>0</v>
      </c>
      <c r="G1909" s="35" t="s">
        <v>6015</v>
      </c>
      <c r="H1909" s="35" t="s">
        <v>6017</v>
      </c>
    </row>
    <row r="1910" spans="1:8" ht="23.1" thickBot="1" x14ac:dyDescent="0.6">
      <c r="A1910" s="44"/>
      <c r="B1910" s="37"/>
      <c r="C1910" s="35"/>
      <c r="D1910" s="35"/>
      <c r="E1910" s="35" t="s">
        <v>6018</v>
      </c>
      <c r="F1910" s="36">
        <v>0</v>
      </c>
      <c r="G1910" s="35" t="s">
        <v>6001</v>
      </c>
      <c r="H1910" s="35" t="s">
        <v>6020</v>
      </c>
    </row>
    <row r="1911" spans="1:8" ht="23.1" thickBot="1" x14ac:dyDescent="0.6">
      <c r="A1911" s="44"/>
      <c r="B1911" s="37"/>
      <c r="C1911" s="35" t="s">
        <v>6802</v>
      </c>
      <c r="D1911" s="35" t="s">
        <v>7917</v>
      </c>
      <c r="E1911" s="35" t="s">
        <v>6021</v>
      </c>
      <c r="F1911" s="36">
        <v>0</v>
      </c>
      <c r="G1911" s="35" t="s">
        <v>5680</v>
      </c>
      <c r="H1911" s="35" t="s">
        <v>6023</v>
      </c>
    </row>
    <row r="1912" spans="1:8" ht="23.1" thickBot="1" x14ac:dyDescent="0.6">
      <c r="A1912" s="44"/>
      <c r="B1912" s="37"/>
      <c r="C1912" s="35"/>
      <c r="D1912" s="35"/>
      <c r="E1912" s="35" t="s">
        <v>6024</v>
      </c>
      <c r="F1912" s="36">
        <v>0</v>
      </c>
      <c r="G1912" s="35" t="s">
        <v>6025</v>
      </c>
      <c r="H1912" s="35" t="s">
        <v>6027</v>
      </c>
    </row>
    <row r="1913" spans="1:8" ht="14.7" thickBot="1" x14ac:dyDescent="0.6">
      <c r="A1913" s="44"/>
      <c r="B1913" s="37"/>
      <c r="C1913" s="35" t="s">
        <v>6833</v>
      </c>
      <c r="D1913" s="35" t="s">
        <v>7918</v>
      </c>
      <c r="E1913" s="35"/>
      <c r="F1913" s="36"/>
      <c r="G1913" s="35"/>
      <c r="H1913" s="35"/>
    </row>
    <row r="1914" spans="1:8" ht="23.1" thickBot="1" x14ac:dyDescent="0.6">
      <c r="A1914" s="44"/>
      <c r="B1914" s="37"/>
      <c r="C1914" s="35" t="s">
        <v>6779</v>
      </c>
      <c r="D1914" s="35" t="s">
        <v>7919</v>
      </c>
      <c r="E1914" s="35" t="s">
        <v>6028</v>
      </c>
      <c r="F1914" s="36">
        <v>0</v>
      </c>
      <c r="G1914" s="35" t="s">
        <v>6029</v>
      </c>
      <c r="H1914" s="35" t="s">
        <v>6031</v>
      </c>
    </row>
    <row r="1915" spans="1:8" ht="23.1" thickBot="1" x14ac:dyDescent="0.6">
      <c r="A1915" s="44"/>
      <c r="B1915" s="37"/>
      <c r="C1915" s="35" t="s">
        <v>6819</v>
      </c>
      <c r="D1915" s="35" t="s">
        <v>7920</v>
      </c>
      <c r="E1915" s="35" t="s">
        <v>6032</v>
      </c>
      <c r="F1915" s="36">
        <v>0</v>
      </c>
      <c r="G1915" s="35" t="s">
        <v>6033</v>
      </c>
      <c r="H1915" s="35" t="s">
        <v>6035</v>
      </c>
    </row>
    <row r="1916" spans="1:8" ht="23.1" thickBot="1" x14ac:dyDescent="0.6">
      <c r="A1916" s="44"/>
      <c r="B1916" s="37"/>
      <c r="C1916" s="35"/>
      <c r="D1916" s="35"/>
      <c r="E1916" s="35" t="s">
        <v>6036</v>
      </c>
      <c r="F1916" s="36">
        <v>0</v>
      </c>
      <c r="G1916" s="35" t="s">
        <v>6037</v>
      </c>
      <c r="H1916" s="35" t="s">
        <v>6039</v>
      </c>
    </row>
    <row r="1917" spans="1:8" ht="23.1" thickBot="1" x14ac:dyDescent="0.6">
      <c r="A1917" s="44"/>
      <c r="B1917" s="37"/>
      <c r="C1917" s="35"/>
      <c r="D1917" s="35"/>
      <c r="E1917" s="35" t="s">
        <v>6040</v>
      </c>
      <c r="F1917" s="36">
        <v>0</v>
      </c>
      <c r="G1917" s="35" t="s">
        <v>6041</v>
      </c>
      <c r="H1917" s="35" t="s">
        <v>6043</v>
      </c>
    </row>
    <row r="1918" spans="1:8" ht="23.1" thickBot="1" x14ac:dyDescent="0.6">
      <c r="A1918" s="44"/>
      <c r="B1918" s="37"/>
      <c r="C1918" s="35"/>
      <c r="D1918" s="35"/>
      <c r="E1918" s="35" t="s">
        <v>6044</v>
      </c>
      <c r="F1918" s="36">
        <v>0</v>
      </c>
      <c r="G1918" s="35" t="s">
        <v>6045</v>
      </c>
      <c r="H1918" s="35" t="s">
        <v>6047</v>
      </c>
    </row>
    <row r="1919" spans="1:8" ht="23.1" thickBot="1" x14ac:dyDescent="0.6">
      <c r="A1919" s="44"/>
      <c r="B1919" s="37"/>
      <c r="C1919" s="35"/>
      <c r="D1919" s="35"/>
      <c r="E1919" s="35" t="s">
        <v>6048</v>
      </c>
      <c r="F1919" s="36">
        <v>0</v>
      </c>
      <c r="G1919" s="35" t="s">
        <v>6049</v>
      </c>
      <c r="H1919" s="35" t="s">
        <v>6051</v>
      </c>
    </row>
    <row r="1920" spans="1:8" ht="23.1" thickBot="1" x14ac:dyDescent="0.6">
      <c r="A1920" s="44"/>
      <c r="B1920" s="37"/>
      <c r="C1920" s="35"/>
      <c r="D1920" s="35"/>
      <c r="E1920" s="35" t="s">
        <v>6052</v>
      </c>
      <c r="F1920" s="36">
        <v>0</v>
      </c>
      <c r="G1920" s="35" t="s">
        <v>6053</v>
      </c>
      <c r="H1920" s="35" t="s">
        <v>6055</v>
      </c>
    </row>
    <row r="1921" spans="1:8" ht="23.1" thickBot="1" x14ac:dyDescent="0.6">
      <c r="A1921" s="44"/>
      <c r="B1921" s="37"/>
      <c r="C1921" s="35"/>
      <c r="D1921" s="35"/>
      <c r="E1921" s="35" t="s">
        <v>6056</v>
      </c>
      <c r="F1921" s="36">
        <v>0</v>
      </c>
      <c r="G1921" s="35" t="s">
        <v>6057</v>
      </c>
      <c r="H1921" s="35" t="s">
        <v>6059</v>
      </c>
    </row>
    <row r="1922" spans="1:8" ht="23.1" thickBot="1" x14ac:dyDescent="0.6">
      <c r="A1922" s="44"/>
      <c r="B1922" s="37"/>
      <c r="C1922" s="35"/>
      <c r="D1922" s="35"/>
      <c r="E1922" s="35" t="s">
        <v>6060</v>
      </c>
      <c r="F1922" s="36">
        <v>0</v>
      </c>
      <c r="G1922" s="35" t="s">
        <v>6061</v>
      </c>
      <c r="H1922" s="35" t="s">
        <v>6063</v>
      </c>
    </row>
    <row r="1923" spans="1:8" ht="23.1" thickBot="1" x14ac:dyDescent="0.6">
      <c r="A1923" s="44"/>
      <c r="B1923" s="37"/>
      <c r="C1923" s="35"/>
      <c r="D1923" s="35"/>
      <c r="E1923" s="35" t="s">
        <v>6064</v>
      </c>
      <c r="F1923" s="36">
        <v>0</v>
      </c>
      <c r="G1923" s="35" t="s">
        <v>6065</v>
      </c>
      <c r="H1923" s="35" t="s">
        <v>6067</v>
      </c>
    </row>
    <row r="1924" spans="1:8" ht="23.1" thickBot="1" x14ac:dyDescent="0.6">
      <c r="A1924" s="44"/>
      <c r="B1924" s="37"/>
      <c r="C1924" s="35" t="s">
        <v>6757</v>
      </c>
      <c r="D1924" s="35" t="s">
        <v>7921</v>
      </c>
      <c r="E1924" s="35" t="s">
        <v>6068</v>
      </c>
      <c r="F1924" s="36">
        <v>0</v>
      </c>
      <c r="G1924" s="35" t="s">
        <v>6069</v>
      </c>
      <c r="H1924" s="35" t="s">
        <v>6071</v>
      </c>
    </row>
    <row r="1925" spans="1:8" ht="23.1" thickBot="1" x14ac:dyDescent="0.6">
      <c r="A1925" s="44"/>
      <c r="B1925" s="37"/>
      <c r="C1925" s="35" t="s">
        <v>6797</v>
      </c>
      <c r="D1925" s="35" t="s">
        <v>7922</v>
      </c>
      <c r="E1925" s="35" t="s">
        <v>6072</v>
      </c>
      <c r="F1925" s="36">
        <v>0</v>
      </c>
      <c r="G1925" s="35" t="s">
        <v>6073</v>
      </c>
      <c r="H1925" s="35" t="s">
        <v>6075</v>
      </c>
    </row>
    <row r="1926" spans="1:8" ht="23.1" thickBot="1" x14ac:dyDescent="0.6">
      <c r="A1926" s="44"/>
      <c r="B1926" s="37"/>
      <c r="C1926" s="35" t="s">
        <v>6798</v>
      </c>
      <c r="D1926" s="35" t="s">
        <v>7923</v>
      </c>
      <c r="E1926" s="35" t="s">
        <v>6072</v>
      </c>
      <c r="F1926" s="36">
        <v>0</v>
      </c>
      <c r="G1926" s="35" t="s">
        <v>6073</v>
      </c>
      <c r="H1926" s="35" t="s">
        <v>6075</v>
      </c>
    </row>
    <row r="1927" spans="1:8" ht="23.1" thickBot="1" x14ac:dyDescent="0.6">
      <c r="A1927" s="44"/>
      <c r="B1927" s="37"/>
      <c r="C1927" s="35" t="s">
        <v>6823</v>
      </c>
      <c r="D1927" s="35" t="s">
        <v>7924</v>
      </c>
      <c r="E1927" s="35" t="s">
        <v>6078</v>
      </c>
      <c r="F1927" s="36">
        <v>0</v>
      </c>
      <c r="G1927" s="35" t="s">
        <v>6079</v>
      </c>
      <c r="H1927" s="35" t="s">
        <v>6077</v>
      </c>
    </row>
    <row r="1928" spans="1:8" ht="23.1" thickBot="1" x14ac:dyDescent="0.6">
      <c r="A1928" s="44"/>
      <c r="B1928" s="37"/>
      <c r="C1928" s="35" t="s">
        <v>6756</v>
      </c>
      <c r="D1928" s="35" t="s">
        <v>7925</v>
      </c>
      <c r="E1928" s="35" t="s">
        <v>6078</v>
      </c>
      <c r="F1928" s="36">
        <v>0</v>
      </c>
      <c r="G1928" s="35" t="s">
        <v>6079</v>
      </c>
      <c r="H1928" s="35" t="s">
        <v>6077</v>
      </c>
    </row>
    <row r="1929" spans="1:8" ht="23.1" thickBot="1" x14ac:dyDescent="0.6">
      <c r="A1929" s="44"/>
      <c r="B1929" s="37"/>
      <c r="C1929" s="35" t="s">
        <v>6819</v>
      </c>
      <c r="D1929" s="35" t="s">
        <v>7926</v>
      </c>
      <c r="E1929" s="35" t="s">
        <v>6078</v>
      </c>
      <c r="F1929" s="36">
        <v>0</v>
      </c>
      <c r="G1929" s="35" t="s">
        <v>6079</v>
      </c>
      <c r="H1929" s="35" t="s">
        <v>6077</v>
      </c>
    </row>
    <row r="1930" spans="1:8" ht="23.1" thickBot="1" x14ac:dyDescent="0.6">
      <c r="A1930" s="44"/>
      <c r="B1930" s="37"/>
      <c r="C1930" s="35"/>
      <c r="D1930" s="35"/>
      <c r="E1930" s="35" t="s">
        <v>6081</v>
      </c>
      <c r="F1930" s="36">
        <v>1</v>
      </c>
      <c r="G1930" s="35" t="s">
        <v>6082</v>
      </c>
      <c r="H1930" s="35" t="s">
        <v>6077</v>
      </c>
    </row>
    <row r="1931" spans="1:8" ht="23.1" thickBot="1" x14ac:dyDescent="0.6">
      <c r="A1931" s="44"/>
      <c r="B1931" s="37"/>
      <c r="C1931" s="35"/>
      <c r="D1931" s="35"/>
      <c r="E1931" s="35" t="s">
        <v>6084</v>
      </c>
      <c r="F1931" s="36">
        <v>2</v>
      </c>
      <c r="G1931" s="35" t="s">
        <v>6085</v>
      </c>
      <c r="H1931" s="35" t="s">
        <v>6077</v>
      </c>
    </row>
    <row r="1932" spans="1:8" ht="23.1" thickBot="1" x14ac:dyDescent="0.6">
      <c r="A1932" s="44"/>
      <c r="B1932" s="37"/>
      <c r="C1932" s="35"/>
      <c r="D1932" s="35"/>
      <c r="E1932" s="35" t="s">
        <v>6086</v>
      </c>
      <c r="F1932" s="36">
        <v>3</v>
      </c>
      <c r="G1932" s="35" t="s">
        <v>6087</v>
      </c>
      <c r="H1932" s="35" t="s">
        <v>6077</v>
      </c>
    </row>
    <row r="1933" spans="1:8" ht="23.1" thickBot="1" x14ac:dyDescent="0.6">
      <c r="A1933" s="44"/>
      <c r="B1933" s="37"/>
      <c r="C1933" s="35"/>
      <c r="D1933" s="35"/>
      <c r="E1933" s="35" t="s">
        <v>6088</v>
      </c>
      <c r="F1933" s="36">
        <v>4</v>
      </c>
      <c r="G1933" s="35" t="s">
        <v>6089</v>
      </c>
      <c r="H1933" s="35" t="s">
        <v>6077</v>
      </c>
    </row>
    <row r="1934" spans="1:8" ht="23.1" thickBot="1" x14ac:dyDescent="0.6">
      <c r="A1934" s="44"/>
      <c r="B1934" s="37"/>
      <c r="C1934" s="35"/>
      <c r="D1934" s="35"/>
      <c r="E1934" s="35" t="s">
        <v>6090</v>
      </c>
      <c r="F1934" s="36">
        <v>5</v>
      </c>
      <c r="G1934" s="35" t="s">
        <v>6091</v>
      </c>
      <c r="H1934" s="35" t="s">
        <v>6077</v>
      </c>
    </row>
    <row r="1935" spans="1:8" ht="23.1" thickBot="1" x14ac:dyDescent="0.6">
      <c r="A1935" s="44"/>
      <c r="B1935" s="37"/>
      <c r="C1935" s="35"/>
      <c r="D1935" s="35"/>
      <c r="E1935" s="35" t="s">
        <v>6092</v>
      </c>
      <c r="F1935" s="36">
        <v>6</v>
      </c>
      <c r="G1935" s="35" t="s">
        <v>6093</v>
      </c>
      <c r="H1935" s="35" t="s">
        <v>6077</v>
      </c>
    </row>
    <row r="1936" spans="1:8" ht="23.1" thickBot="1" x14ac:dyDescent="0.6">
      <c r="A1936" s="44"/>
      <c r="B1936" s="37"/>
      <c r="C1936" s="35"/>
      <c r="D1936" s="35"/>
      <c r="E1936" s="35" t="s">
        <v>6094</v>
      </c>
      <c r="F1936" s="36">
        <v>7</v>
      </c>
      <c r="G1936" s="35" t="s">
        <v>6095</v>
      </c>
      <c r="H1936" s="35" t="s">
        <v>6077</v>
      </c>
    </row>
    <row r="1937" spans="1:8" ht="23.1" thickBot="1" x14ac:dyDescent="0.6">
      <c r="A1937" s="44"/>
      <c r="B1937" s="37"/>
      <c r="C1937" s="35"/>
      <c r="D1937" s="35"/>
      <c r="E1937" s="35" t="s">
        <v>6096</v>
      </c>
      <c r="F1937" s="36">
        <v>8</v>
      </c>
      <c r="G1937" s="35" t="s">
        <v>6097</v>
      </c>
      <c r="H1937" s="35" t="s">
        <v>6077</v>
      </c>
    </row>
    <row r="1938" spans="1:8" ht="23.1" thickBot="1" x14ac:dyDescent="0.6">
      <c r="A1938" s="44"/>
      <c r="B1938" s="37"/>
      <c r="C1938" s="35"/>
      <c r="D1938" s="35"/>
      <c r="E1938" s="35" t="s">
        <v>6098</v>
      </c>
      <c r="F1938" s="36">
        <v>9</v>
      </c>
      <c r="G1938" s="35" t="s">
        <v>6099</v>
      </c>
      <c r="H1938" s="35" t="s">
        <v>6077</v>
      </c>
    </row>
    <row r="1939" spans="1:8" ht="23.1" thickBot="1" x14ac:dyDescent="0.6">
      <c r="A1939" s="44"/>
      <c r="B1939" s="37"/>
      <c r="C1939" s="35"/>
      <c r="D1939" s="35"/>
      <c r="E1939" s="35" t="s">
        <v>6100</v>
      </c>
      <c r="F1939" s="36">
        <v>10</v>
      </c>
      <c r="G1939" s="35" t="s">
        <v>6101</v>
      </c>
      <c r="H1939" s="35" t="s">
        <v>6077</v>
      </c>
    </row>
    <row r="1940" spans="1:8" ht="23.1" thickBot="1" x14ac:dyDescent="0.6">
      <c r="A1940" s="44"/>
      <c r="B1940" s="37"/>
      <c r="C1940" s="35"/>
      <c r="D1940" s="35"/>
      <c r="E1940" s="35" t="s">
        <v>6102</v>
      </c>
      <c r="F1940" s="36">
        <v>11</v>
      </c>
      <c r="G1940" s="35" t="s">
        <v>6103</v>
      </c>
      <c r="H1940" s="35" t="s">
        <v>6077</v>
      </c>
    </row>
    <row r="1941" spans="1:8" ht="23.1" thickBot="1" x14ac:dyDescent="0.6">
      <c r="A1941" s="44"/>
      <c r="B1941" s="37"/>
      <c r="C1941" s="35"/>
      <c r="D1941" s="35"/>
      <c r="E1941" s="35" t="s">
        <v>6104</v>
      </c>
      <c r="F1941" s="36">
        <v>13</v>
      </c>
      <c r="G1941" s="35" t="s">
        <v>6105</v>
      </c>
      <c r="H1941" s="35" t="s">
        <v>6077</v>
      </c>
    </row>
    <row r="1942" spans="1:8" ht="23.1" thickBot="1" x14ac:dyDescent="0.6">
      <c r="A1942" s="44"/>
      <c r="B1942" s="37"/>
      <c r="C1942" s="35"/>
      <c r="D1942" s="35"/>
      <c r="E1942" s="35" t="s">
        <v>6106</v>
      </c>
      <c r="F1942" s="36">
        <v>14</v>
      </c>
      <c r="G1942" s="35" t="s">
        <v>6107</v>
      </c>
      <c r="H1942" s="35" t="s">
        <v>6077</v>
      </c>
    </row>
    <row r="1943" spans="1:8" ht="23.1" thickBot="1" x14ac:dyDescent="0.6">
      <c r="A1943" s="44"/>
      <c r="B1943" s="37"/>
      <c r="C1943" s="35"/>
      <c r="D1943" s="35"/>
      <c r="E1943" s="35" t="s">
        <v>6108</v>
      </c>
      <c r="F1943" s="36">
        <v>15</v>
      </c>
      <c r="G1943" s="35" t="s">
        <v>6109</v>
      </c>
      <c r="H1943" s="35" t="s">
        <v>6077</v>
      </c>
    </row>
    <row r="1944" spans="1:8" ht="23.1" thickBot="1" x14ac:dyDescent="0.6">
      <c r="A1944" s="44"/>
      <c r="B1944" s="37"/>
      <c r="C1944" s="35"/>
      <c r="D1944" s="35"/>
      <c r="E1944" s="35" t="s">
        <v>6110</v>
      </c>
      <c r="F1944" s="36">
        <v>16</v>
      </c>
      <c r="G1944" s="35" t="s">
        <v>6111</v>
      </c>
      <c r="H1944" s="35" t="s">
        <v>6077</v>
      </c>
    </row>
    <row r="1945" spans="1:8" ht="23.1" thickBot="1" x14ac:dyDescent="0.6">
      <c r="A1945" s="44"/>
      <c r="B1945" s="37"/>
      <c r="C1945" s="35"/>
      <c r="D1945" s="35"/>
      <c r="E1945" s="35" t="s">
        <v>6112</v>
      </c>
      <c r="F1945" s="36">
        <v>17</v>
      </c>
      <c r="G1945" s="35" t="s">
        <v>6113</v>
      </c>
      <c r="H1945" s="35" t="s">
        <v>6077</v>
      </c>
    </row>
    <row r="1946" spans="1:8" ht="23.1" thickBot="1" x14ac:dyDescent="0.6">
      <c r="A1946" s="44"/>
      <c r="B1946" s="37"/>
      <c r="C1946" s="35"/>
      <c r="D1946" s="35"/>
      <c r="E1946" s="35" t="s">
        <v>6114</v>
      </c>
      <c r="F1946" s="36">
        <v>19</v>
      </c>
      <c r="G1946" s="35" t="s">
        <v>6115</v>
      </c>
      <c r="H1946" s="35" t="s">
        <v>6077</v>
      </c>
    </row>
    <row r="1947" spans="1:8" ht="23.1" thickBot="1" x14ac:dyDescent="0.6">
      <c r="A1947" s="44"/>
      <c r="B1947" s="37"/>
      <c r="C1947" s="35"/>
      <c r="D1947" s="35"/>
      <c r="E1947" s="35" t="s">
        <v>6116</v>
      </c>
      <c r="F1947" s="36">
        <v>20</v>
      </c>
      <c r="G1947" s="35" t="s">
        <v>6117</v>
      </c>
      <c r="H1947" s="35" t="s">
        <v>6077</v>
      </c>
    </row>
    <row r="1948" spans="1:8" ht="23.1" thickBot="1" x14ac:dyDescent="0.6">
      <c r="A1948" s="44"/>
      <c r="B1948" s="37"/>
      <c r="C1948" s="35"/>
      <c r="D1948" s="35"/>
      <c r="E1948" s="35" t="s">
        <v>6118</v>
      </c>
      <c r="F1948" s="36">
        <v>21</v>
      </c>
      <c r="G1948" s="35" t="s">
        <v>6119</v>
      </c>
      <c r="H1948" s="35" t="s">
        <v>6077</v>
      </c>
    </row>
    <row r="1949" spans="1:8" ht="23.1" thickBot="1" x14ac:dyDescent="0.6">
      <c r="A1949" s="44"/>
      <c r="B1949" s="37"/>
      <c r="C1949" s="35"/>
      <c r="D1949" s="35"/>
      <c r="E1949" s="35" t="s">
        <v>6120</v>
      </c>
      <c r="F1949" s="36">
        <v>22</v>
      </c>
      <c r="G1949" s="35" t="s">
        <v>6121</v>
      </c>
      <c r="H1949" s="35" t="s">
        <v>6077</v>
      </c>
    </row>
    <row r="1950" spans="1:8" ht="23.1" thickBot="1" x14ac:dyDescent="0.6">
      <c r="A1950" s="44"/>
      <c r="B1950" s="37"/>
      <c r="C1950" s="35"/>
      <c r="D1950" s="35"/>
      <c r="E1950" s="35" t="s">
        <v>6122</v>
      </c>
      <c r="F1950" s="36">
        <v>23</v>
      </c>
      <c r="G1950" s="35" t="s">
        <v>6123</v>
      </c>
      <c r="H1950" s="35" t="s">
        <v>6077</v>
      </c>
    </row>
    <row r="1951" spans="1:8" ht="23.1" thickBot="1" x14ac:dyDescent="0.6">
      <c r="A1951" s="44"/>
      <c r="B1951" s="37"/>
      <c r="C1951" s="35"/>
      <c r="D1951" s="35"/>
      <c r="E1951" s="35" t="s">
        <v>6124</v>
      </c>
      <c r="F1951" s="36">
        <v>24</v>
      </c>
      <c r="G1951" s="35" t="s">
        <v>6125</v>
      </c>
      <c r="H1951" s="35" t="s">
        <v>6077</v>
      </c>
    </row>
    <row r="1952" spans="1:8" ht="23.1" thickBot="1" x14ac:dyDescent="0.6">
      <c r="A1952" s="44"/>
      <c r="B1952" s="37"/>
      <c r="C1952" s="35"/>
      <c r="D1952" s="35"/>
      <c r="E1952" s="35" t="s">
        <v>6126</v>
      </c>
      <c r="F1952" s="36">
        <v>25</v>
      </c>
      <c r="G1952" s="35" t="s">
        <v>6127</v>
      </c>
      <c r="H1952" s="35" t="s">
        <v>6077</v>
      </c>
    </row>
    <row r="1953" spans="1:8" ht="23.1" thickBot="1" x14ac:dyDescent="0.6">
      <c r="A1953" s="44"/>
      <c r="B1953" s="37"/>
      <c r="C1953" s="35"/>
      <c r="D1953" s="35"/>
      <c r="E1953" s="35" t="s">
        <v>6128</v>
      </c>
      <c r="F1953" s="36">
        <v>28</v>
      </c>
      <c r="G1953" s="35" t="s">
        <v>6107</v>
      </c>
      <c r="H1953" s="35" t="s">
        <v>6077</v>
      </c>
    </row>
    <row r="1954" spans="1:8" ht="23.1" thickBot="1" x14ac:dyDescent="0.6">
      <c r="A1954" s="44"/>
      <c r="B1954" s="37"/>
      <c r="C1954" s="35"/>
      <c r="D1954" s="35"/>
      <c r="E1954" s="35" t="s">
        <v>6129</v>
      </c>
      <c r="F1954" s="36">
        <v>30</v>
      </c>
      <c r="G1954" s="35" t="s">
        <v>6130</v>
      </c>
      <c r="H1954" s="35" t="s">
        <v>6077</v>
      </c>
    </row>
    <row r="1955" spans="1:8" ht="23.1" thickBot="1" x14ac:dyDescent="0.6">
      <c r="A1955" s="44"/>
      <c r="B1955" s="37"/>
      <c r="C1955" s="35"/>
      <c r="D1955" s="35"/>
      <c r="E1955" s="35" t="s">
        <v>6131</v>
      </c>
      <c r="F1955" s="36">
        <v>31</v>
      </c>
      <c r="G1955" s="35" t="s">
        <v>6132</v>
      </c>
      <c r="H1955" s="35" t="s">
        <v>6077</v>
      </c>
    </row>
    <row r="1956" spans="1:8" ht="23.1" thickBot="1" x14ac:dyDescent="0.6">
      <c r="A1956" s="44"/>
      <c r="B1956" s="37"/>
      <c r="C1956" s="35"/>
      <c r="D1956" s="35"/>
      <c r="E1956" s="35" t="s">
        <v>6133</v>
      </c>
      <c r="F1956" s="36">
        <v>32</v>
      </c>
      <c r="G1956" s="35" t="s">
        <v>6134</v>
      </c>
      <c r="H1956" s="35" t="s">
        <v>6077</v>
      </c>
    </row>
    <row r="1957" spans="1:8" ht="23.1" thickBot="1" x14ac:dyDescent="0.6">
      <c r="A1957" s="44"/>
      <c r="B1957" s="37"/>
      <c r="C1957" s="35"/>
      <c r="D1957" s="35"/>
      <c r="E1957" s="35" t="s">
        <v>6135</v>
      </c>
      <c r="F1957" s="36">
        <v>33</v>
      </c>
      <c r="G1957" s="35" t="s">
        <v>6136</v>
      </c>
      <c r="H1957" s="35" t="s">
        <v>6077</v>
      </c>
    </row>
    <row r="1958" spans="1:8" ht="23.1" thickBot="1" x14ac:dyDescent="0.6">
      <c r="A1958" s="44"/>
      <c r="B1958" s="37"/>
      <c r="C1958" s="35"/>
      <c r="D1958" s="35"/>
      <c r="E1958" s="35" t="s">
        <v>6137</v>
      </c>
      <c r="F1958" s="36">
        <v>34</v>
      </c>
      <c r="G1958" s="35" t="s">
        <v>6138</v>
      </c>
      <c r="H1958" s="35" t="s">
        <v>6077</v>
      </c>
    </row>
    <row r="1959" spans="1:8" ht="23.1" thickBot="1" x14ac:dyDescent="0.6">
      <c r="A1959" s="44"/>
      <c r="B1959" s="37"/>
      <c r="C1959" s="35"/>
      <c r="D1959" s="35"/>
      <c r="E1959" s="35" t="s">
        <v>6139</v>
      </c>
      <c r="F1959" s="36">
        <v>35</v>
      </c>
      <c r="G1959" s="35" t="s">
        <v>1047</v>
      </c>
      <c r="H1959" s="35" t="s">
        <v>6077</v>
      </c>
    </row>
    <row r="1960" spans="1:8" ht="23.1" thickBot="1" x14ac:dyDescent="0.6">
      <c r="A1960" s="44"/>
      <c r="B1960" s="37"/>
      <c r="C1960" s="35"/>
      <c r="D1960" s="35"/>
      <c r="E1960" s="35" t="s">
        <v>6140</v>
      </c>
      <c r="F1960" s="36">
        <v>36</v>
      </c>
      <c r="G1960" s="35" t="s">
        <v>6141</v>
      </c>
      <c r="H1960" s="35" t="s">
        <v>6077</v>
      </c>
    </row>
    <row r="1961" spans="1:8" ht="23.1" thickBot="1" x14ac:dyDescent="0.6">
      <c r="A1961" s="44"/>
      <c r="B1961" s="37"/>
      <c r="C1961" s="35"/>
      <c r="D1961" s="35"/>
      <c r="E1961" s="35" t="s">
        <v>6142</v>
      </c>
      <c r="F1961" s="36">
        <v>37</v>
      </c>
      <c r="G1961" s="35" t="s">
        <v>6143</v>
      </c>
      <c r="H1961" s="35" t="s">
        <v>6077</v>
      </c>
    </row>
    <row r="1962" spans="1:8" ht="23.1" thickBot="1" x14ac:dyDescent="0.6">
      <c r="A1962" s="44"/>
      <c r="B1962" s="37"/>
      <c r="C1962" s="35"/>
      <c r="D1962" s="35"/>
      <c r="E1962" s="35" t="s">
        <v>6144</v>
      </c>
      <c r="F1962" s="36">
        <v>38</v>
      </c>
      <c r="G1962" s="35" t="s">
        <v>6145</v>
      </c>
      <c r="H1962" s="35" t="s">
        <v>6077</v>
      </c>
    </row>
    <row r="1963" spans="1:8" ht="23.1" thickBot="1" x14ac:dyDescent="0.6">
      <c r="A1963" s="44"/>
      <c r="B1963" s="37"/>
      <c r="C1963" s="35"/>
      <c r="D1963" s="35"/>
      <c r="E1963" s="35" t="s">
        <v>6146</v>
      </c>
      <c r="F1963" s="36">
        <v>39</v>
      </c>
      <c r="G1963" s="35" t="s">
        <v>6147</v>
      </c>
      <c r="H1963" s="35" t="s">
        <v>6077</v>
      </c>
    </row>
    <row r="1964" spans="1:8" ht="23.1" thickBot="1" x14ac:dyDescent="0.6">
      <c r="A1964" s="44"/>
      <c r="B1964" s="37"/>
      <c r="C1964" s="35"/>
      <c r="D1964" s="35"/>
      <c r="E1964" s="35" t="s">
        <v>6148</v>
      </c>
      <c r="F1964" s="36">
        <v>40</v>
      </c>
      <c r="G1964" s="35" t="s">
        <v>6149</v>
      </c>
      <c r="H1964" s="35" t="s">
        <v>6077</v>
      </c>
    </row>
    <row r="1965" spans="1:8" ht="23.1" thickBot="1" x14ac:dyDescent="0.6">
      <c r="A1965" s="44"/>
      <c r="B1965" s="37"/>
      <c r="C1965" s="35"/>
      <c r="D1965" s="35"/>
      <c r="E1965" s="35" t="s">
        <v>6150</v>
      </c>
      <c r="F1965" s="36">
        <v>999</v>
      </c>
      <c r="G1965" s="35" t="s">
        <v>135</v>
      </c>
      <c r="H1965" s="35" t="s">
        <v>6077</v>
      </c>
    </row>
    <row r="1966" spans="1:8" ht="23.1" thickBot="1" x14ac:dyDescent="0.6">
      <c r="A1966" s="44"/>
      <c r="B1966" s="37"/>
      <c r="C1966" s="35" t="s">
        <v>6755</v>
      </c>
      <c r="D1966" s="35" t="s">
        <v>7927</v>
      </c>
      <c r="E1966" s="35" t="s">
        <v>6151</v>
      </c>
      <c r="F1966" s="36">
        <v>0</v>
      </c>
      <c r="G1966" s="35" t="s">
        <v>6152</v>
      </c>
      <c r="H1966" s="35" t="s">
        <v>6154</v>
      </c>
    </row>
    <row r="1967" spans="1:8" ht="23.1" thickBot="1" x14ac:dyDescent="0.6">
      <c r="A1967" s="44"/>
      <c r="B1967" s="37"/>
      <c r="C1967" s="35" t="s">
        <v>6756</v>
      </c>
      <c r="D1967" s="35" t="s">
        <v>7928</v>
      </c>
      <c r="E1967" s="35" t="s">
        <v>6151</v>
      </c>
      <c r="F1967" s="36">
        <v>0</v>
      </c>
      <c r="G1967" s="35" t="s">
        <v>6152</v>
      </c>
      <c r="H1967" s="35" t="s">
        <v>6154</v>
      </c>
    </row>
    <row r="1968" spans="1:8" ht="23.1" thickBot="1" x14ac:dyDescent="0.6">
      <c r="A1968" s="44"/>
      <c r="B1968" s="37"/>
      <c r="C1968" s="35" t="s">
        <v>6757</v>
      </c>
      <c r="D1968" s="35" t="s">
        <v>7929</v>
      </c>
      <c r="E1968" s="35" t="s">
        <v>6151</v>
      </c>
      <c r="F1968" s="36">
        <v>0</v>
      </c>
      <c r="G1968" s="35" t="s">
        <v>6152</v>
      </c>
      <c r="H1968" s="35" t="s">
        <v>6154</v>
      </c>
    </row>
    <row r="1969" spans="1:8" ht="23.1" thickBot="1" x14ac:dyDescent="0.6">
      <c r="A1969" s="44"/>
      <c r="B1969" s="37"/>
      <c r="C1969" s="35" t="s">
        <v>6792</v>
      </c>
      <c r="D1969" s="35" t="s">
        <v>7930</v>
      </c>
      <c r="E1969" s="35"/>
      <c r="F1969" s="36"/>
      <c r="G1969" s="35"/>
      <c r="H1969" s="35"/>
    </row>
    <row r="1970" spans="1:8" ht="23.1" thickBot="1" x14ac:dyDescent="0.6">
      <c r="A1970" s="44"/>
      <c r="B1970" s="37"/>
      <c r="C1970" s="35" t="s">
        <v>6764</v>
      </c>
      <c r="D1970" s="35" t="s">
        <v>7931</v>
      </c>
      <c r="E1970" s="35"/>
      <c r="F1970" s="36"/>
      <c r="G1970" s="35"/>
      <c r="H1970" s="35"/>
    </row>
    <row r="1971" spans="1:8" ht="23.1" thickBot="1" x14ac:dyDescent="0.6">
      <c r="A1971" s="44"/>
      <c r="B1971" s="37"/>
      <c r="C1971" s="35"/>
      <c r="D1971" s="35"/>
      <c r="E1971" s="35" t="s">
        <v>6155</v>
      </c>
      <c r="F1971" s="36">
        <v>0</v>
      </c>
      <c r="G1971" s="35" t="s">
        <v>6156</v>
      </c>
      <c r="H1971" s="35" t="s">
        <v>6158</v>
      </c>
    </row>
    <row r="1972" spans="1:8" ht="23.1" thickBot="1" x14ac:dyDescent="0.6">
      <c r="A1972" s="44"/>
      <c r="B1972" s="37"/>
      <c r="C1972" s="35"/>
      <c r="D1972" s="35" t="s">
        <v>7932</v>
      </c>
      <c r="E1972" s="35" t="s">
        <v>6159</v>
      </c>
      <c r="F1972" s="36">
        <v>0</v>
      </c>
      <c r="G1972" s="35" t="s">
        <v>6160</v>
      </c>
      <c r="H1972" s="35" t="s">
        <v>6162</v>
      </c>
    </row>
    <row r="1973" spans="1:8" ht="23.1" thickBot="1" x14ac:dyDescent="0.6">
      <c r="A1973" s="44"/>
      <c r="B1973" s="37"/>
      <c r="C1973" s="35"/>
      <c r="D1973" s="35"/>
      <c r="E1973" s="35" t="s">
        <v>6163</v>
      </c>
      <c r="F1973" s="36">
        <v>0</v>
      </c>
      <c r="G1973" s="35" t="s">
        <v>6164</v>
      </c>
      <c r="H1973" s="35" t="s">
        <v>6166</v>
      </c>
    </row>
    <row r="1974" spans="1:8" ht="23.1" thickBot="1" x14ac:dyDescent="0.6">
      <c r="A1974" s="44"/>
      <c r="B1974" s="37"/>
      <c r="C1974" s="35"/>
      <c r="D1974" s="35"/>
      <c r="E1974" s="35" t="s">
        <v>6167</v>
      </c>
      <c r="F1974" s="36">
        <v>0</v>
      </c>
      <c r="G1974" s="35" t="s">
        <v>6168</v>
      </c>
      <c r="H1974" s="35" t="s">
        <v>6170</v>
      </c>
    </row>
    <row r="1975" spans="1:8" ht="23.1" thickBot="1" x14ac:dyDescent="0.6">
      <c r="A1975" s="44"/>
      <c r="B1975" s="37"/>
      <c r="C1975" s="35"/>
      <c r="D1975" s="35"/>
      <c r="E1975" s="35" t="s">
        <v>6171</v>
      </c>
      <c r="F1975" s="36">
        <v>0</v>
      </c>
      <c r="G1975" s="35" t="s">
        <v>6172</v>
      </c>
      <c r="H1975" s="35" t="s">
        <v>6174</v>
      </c>
    </row>
    <row r="1976" spans="1:8" ht="14.7" thickBot="1" x14ac:dyDescent="0.6">
      <c r="A1976" s="44"/>
      <c r="B1976" s="37"/>
      <c r="C1976" s="35"/>
      <c r="D1976" s="35"/>
      <c r="E1976" s="35" t="s">
        <v>6175</v>
      </c>
      <c r="F1976" s="36">
        <v>0</v>
      </c>
      <c r="G1976" s="35" t="s">
        <v>6176</v>
      </c>
      <c r="H1976" s="35" t="s">
        <v>6178</v>
      </c>
    </row>
    <row r="1977" spans="1:8" ht="23.1" thickBot="1" x14ac:dyDescent="0.6">
      <c r="A1977" s="44"/>
      <c r="B1977" s="37"/>
      <c r="C1977" s="35"/>
      <c r="D1977" s="35"/>
      <c r="E1977" s="35" t="s">
        <v>6179</v>
      </c>
      <c r="F1977" s="36">
        <v>0</v>
      </c>
      <c r="G1977" s="35" t="s">
        <v>6180</v>
      </c>
      <c r="H1977" s="35" t="s">
        <v>6182</v>
      </c>
    </row>
    <row r="1978" spans="1:8" ht="23.1" thickBot="1" x14ac:dyDescent="0.6">
      <c r="A1978" s="44"/>
      <c r="B1978" s="37"/>
      <c r="C1978" s="35"/>
      <c r="D1978" s="35"/>
      <c r="E1978" s="35" t="s">
        <v>6183</v>
      </c>
      <c r="F1978" s="36">
        <v>0</v>
      </c>
      <c r="G1978" s="35" t="s">
        <v>6184</v>
      </c>
      <c r="H1978" s="35" t="s">
        <v>6186</v>
      </c>
    </row>
    <row r="1979" spans="1:8" ht="23.1" thickBot="1" x14ac:dyDescent="0.6">
      <c r="A1979" s="44"/>
      <c r="B1979" s="37"/>
      <c r="C1979" s="35"/>
      <c r="D1979" s="35"/>
      <c r="E1979" s="35" t="s">
        <v>6187</v>
      </c>
      <c r="F1979" s="36">
        <v>0</v>
      </c>
      <c r="G1979" s="35" t="s">
        <v>6188</v>
      </c>
      <c r="H1979" s="35" t="s">
        <v>6190</v>
      </c>
    </row>
    <row r="1980" spans="1:8" ht="23.1" thickBot="1" x14ac:dyDescent="0.6">
      <c r="A1980" s="44"/>
      <c r="B1980" s="37"/>
      <c r="C1980" s="35"/>
      <c r="D1980" s="35"/>
      <c r="E1980" s="35" t="s">
        <v>6191</v>
      </c>
      <c r="F1980" s="36">
        <v>0</v>
      </c>
      <c r="G1980" s="35" t="s">
        <v>6192</v>
      </c>
      <c r="H1980" s="35" t="s">
        <v>6194</v>
      </c>
    </row>
    <row r="1981" spans="1:8" ht="23.1" thickBot="1" x14ac:dyDescent="0.6">
      <c r="A1981" s="44"/>
      <c r="B1981" s="37"/>
      <c r="C1981" s="35"/>
      <c r="D1981" s="35"/>
      <c r="E1981" s="35" t="s">
        <v>6195</v>
      </c>
      <c r="F1981" s="36">
        <v>0</v>
      </c>
      <c r="G1981" s="35" t="s">
        <v>6196</v>
      </c>
      <c r="H1981" s="35" t="s">
        <v>6198</v>
      </c>
    </row>
    <row r="1982" spans="1:8" ht="23.1" thickBot="1" x14ac:dyDescent="0.6">
      <c r="A1982" s="44"/>
      <c r="B1982" s="37"/>
      <c r="C1982" s="35"/>
      <c r="D1982" s="35"/>
      <c r="E1982" s="35" t="s">
        <v>6199</v>
      </c>
      <c r="F1982" s="36">
        <v>0</v>
      </c>
      <c r="G1982" s="35" t="s">
        <v>6200</v>
      </c>
      <c r="H1982" s="35" t="s">
        <v>6202</v>
      </c>
    </row>
    <row r="1983" spans="1:8" ht="23.1" thickBot="1" x14ac:dyDescent="0.6">
      <c r="A1983" s="44"/>
      <c r="B1983" s="37"/>
      <c r="C1983" s="35"/>
      <c r="D1983" s="35"/>
      <c r="E1983" s="35" t="s">
        <v>6203</v>
      </c>
      <c r="F1983" s="36">
        <v>0</v>
      </c>
      <c r="G1983" s="35" t="s">
        <v>6204</v>
      </c>
      <c r="H1983" s="35" t="s">
        <v>6206</v>
      </c>
    </row>
    <row r="1984" spans="1:8" ht="23.1" thickBot="1" x14ac:dyDescent="0.6">
      <c r="A1984" s="44"/>
      <c r="B1984" s="37"/>
      <c r="C1984" s="35"/>
      <c r="D1984" s="35"/>
      <c r="E1984" s="35" t="s">
        <v>6207</v>
      </c>
      <c r="F1984" s="36">
        <v>0</v>
      </c>
      <c r="G1984" s="35" t="s">
        <v>6208</v>
      </c>
      <c r="H1984" s="35" t="s">
        <v>6210</v>
      </c>
    </row>
    <row r="1985" spans="1:8" ht="23.1" thickBot="1" x14ac:dyDescent="0.6">
      <c r="A1985" s="44"/>
      <c r="B1985" s="37"/>
      <c r="C1985" s="35"/>
      <c r="D1985" s="35"/>
      <c r="E1985" s="35" t="s">
        <v>6211</v>
      </c>
      <c r="F1985" s="36">
        <v>0</v>
      </c>
      <c r="G1985" s="35" t="s">
        <v>6212</v>
      </c>
      <c r="H1985" s="35" t="s">
        <v>6214</v>
      </c>
    </row>
    <row r="1986" spans="1:8" ht="23.1" thickBot="1" x14ac:dyDescent="0.6">
      <c r="A1986" s="44"/>
      <c r="B1986" s="37"/>
      <c r="C1986" s="35"/>
      <c r="D1986" s="35"/>
      <c r="E1986" s="35" t="s">
        <v>6215</v>
      </c>
      <c r="F1986" s="36">
        <v>0</v>
      </c>
      <c r="G1986" s="35" t="s">
        <v>6216</v>
      </c>
      <c r="H1986" s="35" t="s">
        <v>6218</v>
      </c>
    </row>
    <row r="1987" spans="1:8" ht="23.1" thickBot="1" x14ac:dyDescent="0.6">
      <c r="A1987" s="44"/>
      <c r="B1987" s="37"/>
      <c r="C1987" s="35"/>
      <c r="D1987" s="35"/>
      <c r="E1987" s="35" t="s">
        <v>6219</v>
      </c>
      <c r="F1987" s="36">
        <v>0</v>
      </c>
      <c r="G1987" s="35" t="s">
        <v>6220</v>
      </c>
      <c r="H1987" s="35" t="s">
        <v>6222</v>
      </c>
    </row>
    <row r="1988" spans="1:8" ht="23.1" thickBot="1" x14ac:dyDescent="0.6">
      <c r="A1988" s="44"/>
      <c r="B1988" s="37"/>
      <c r="C1988" s="35"/>
      <c r="D1988" s="35"/>
      <c r="E1988" s="35" t="s">
        <v>6223</v>
      </c>
      <c r="F1988" s="36">
        <v>0</v>
      </c>
      <c r="G1988" s="35" t="s">
        <v>6224</v>
      </c>
      <c r="H1988" s="35" t="s">
        <v>6226</v>
      </c>
    </row>
    <row r="1989" spans="1:8" ht="23.1" thickBot="1" x14ac:dyDescent="0.6">
      <c r="A1989" s="44"/>
      <c r="B1989" s="37"/>
      <c r="C1989" s="35"/>
      <c r="D1989" s="35"/>
      <c r="E1989" s="35" t="s">
        <v>6227</v>
      </c>
      <c r="F1989" s="36">
        <v>0</v>
      </c>
      <c r="G1989" s="35" t="s">
        <v>6228</v>
      </c>
      <c r="H1989" s="35" t="s">
        <v>6230</v>
      </c>
    </row>
    <row r="1990" spans="1:8" ht="23.1" thickBot="1" x14ac:dyDescent="0.6">
      <c r="A1990" s="44"/>
      <c r="B1990" s="37"/>
      <c r="C1990" s="35"/>
      <c r="D1990" s="35"/>
      <c r="E1990" s="35" t="s">
        <v>6231</v>
      </c>
      <c r="F1990" s="36">
        <v>0</v>
      </c>
      <c r="G1990" s="35" t="s">
        <v>6232</v>
      </c>
      <c r="H1990" s="35" t="s">
        <v>6234</v>
      </c>
    </row>
    <row r="1991" spans="1:8" ht="23.1" thickBot="1" x14ac:dyDescent="0.6">
      <c r="A1991" s="44"/>
      <c r="B1991" s="37"/>
      <c r="C1991" s="35"/>
      <c r="D1991" s="35"/>
      <c r="E1991" s="35" t="s">
        <v>6235</v>
      </c>
      <c r="F1991" s="36">
        <v>0</v>
      </c>
      <c r="G1991" s="35" t="s">
        <v>6236</v>
      </c>
      <c r="H1991" s="35" t="s">
        <v>6238</v>
      </c>
    </row>
    <row r="1992" spans="1:8" ht="23.1" thickBot="1" x14ac:dyDescent="0.6">
      <c r="A1992" s="44"/>
      <c r="B1992" s="37"/>
      <c r="C1992" s="35"/>
      <c r="D1992" s="35"/>
      <c r="E1992" s="35" t="s">
        <v>6239</v>
      </c>
      <c r="F1992" s="36">
        <v>0</v>
      </c>
      <c r="G1992" s="35" t="s">
        <v>6240</v>
      </c>
      <c r="H1992" s="35" t="s">
        <v>6242</v>
      </c>
    </row>
    <row r="1993" spans="1:8" ht="23.1" thickBot="1" x14ac:dyDescent="0.6">
      <c r="A1993" s="44"/>
      <c r="B1993" s="37"/>
      <c r="C1993" s="35"/>
      <c r="D1993" s="35"/>
      <c r="E1993" s="35" t="s">
        <v>6243</v>
      </c>
      <c r="F1993" s="36">
        <v>0</v>
      </c>
      <c r="G1993" s="35" t="s">
        <v>6244</v>
      </c>
      <c r="H1993" s="35" t="s">
        <v>6246</v>
      </c>
    </row>
    <row r="1994" spans="1:8" ht="23.1" thickBot="1" x14ac:dyDescent="0.6">
      <c r="A1994" s="44"/>
      <c r="B1994" s="37"/>
      <c r="C1994" s="35"/>
      <c r="D1994" s="35"/>
      <c r="E1994" s="35" t="s">
        <v>6247</v>
      </c>
      <c r="F1994" s="36">
        <v>0</v>
      </c>
      <c r="G1994" s="35" t="s">
        <v>6248</v>
      </c>
      <c r="H1994" s="35" t="s">
        <v>6250</v>
      </c>
    </row>
    <row r="1995" spans="1:8" ht="23.1" thickBot="1" x14ac:dyDescent="0.6">
      <c r="A1995" s="44"/>
      <c r="B1995" s="37"/>
      <c r="C1995" s="35"/>
      <c r="D1995" s="35"/>
      <c r="E1995" s="35" t="s">
        <v>6251</v>
      </c>
      <c r="F1995" s="36">
        <v>0</v>
      </c>
      <c r="G1995" s="35" t="s">
        <v>6252</v>
      </c>
      <c r="H1995" s="35" t="s">
        <v>6254</v>
      </c>
    </row>
    <row r="1996" spans="1:8" ht="23.1" thickBot="1" x14ac:dyDescent="0.6">
      <c r="A1996" s="44"/>
      <c r="B1996" s="37"/>
      <c r="C1996" s="35"/>
      <c r="D1996" s="35"/>
      <c r="E1996" s="35" t="s">
        <v>6255</v>
      </c>
      <c r="F1996" s="36">
        <v>0</v>
      </c>
      <c r="G1996" s="35" t="s">
        <v>6256</v>
      </c>
      <c r="H1996" s="35" t="s">
        <v>6258</v>
      </c>
    </row>
    <row r="1997" spans="1:8" ht="23.1" thickBot="1" x14ac:dyDescent="0.6">
      <c r="A1997" s="44"/>
      <c r="B1997" s="37"/>
      <c r="C1997" s="35"/>
      <c r="D1997" s="35"/>
      <c r="E1997" s="35" t="s">
        <v>6259</v>
      </c>
      <c r="F1997" s="36">
        <v>0</v>
      </c>
      <c r="G1997" s="35" t="s">
        <v>6260</v>
      </c>
      <c r="H1997" s="35" t="s">
        <v>6262</v>
      </c>
    </row>
    <row r="1998" spans="1:8" ht="23.1" thickBot="1" x14ac:dyDescent="0.6">
      <c r="A1998" s="44"/>
      <c r="B1998" s="37"/>
      <c r="C1998" s="35"/>
      <c r="D1998" s="35"/>
      <c r="E1998" s="35" t="s">
        <v>6263</v>
      </c>
      <c r="F1998" s="36">
        <v>0</v>
      </c>
      <c r="G1998" s="35" t="s">
        <v>6264</v>
      </c>
      <c r="H1998" s="35" t="s">
        <v>6266</v>
      </c>
    </row>
    <row r="1999" spans="1:8" ht="14.7" thickBot="1" x14ac:dyDescent="0.6">
      <c r="A1999" s="44"/>
      <c r="B1999" s="37"/>
      <c r="C1999" s="35" t="s">
        <v>6799</v>
      </c>
      <c r="D1999" s="35" t="s">
        <v>7933</v>
      </c>
      <c r="E1999" s="35" t="s">
        <v>6267</v>
      </c>
      <c r="F1999" s="36">
        <v>0</v>
      </c>
      <c r="G1999" s="35" t="s">
        <v>6268</v>
      </c>
      <c r="H1999" s="35" t="s">
        <v>6270</v>
      </c>
    </row>
    <row r="2000" spans="1:8" ht="14.7" thickBot="1" x14ac:dyDescent="0.6">
      <c r="A2000" s="44"/>
      <c r="B2000" s="37"/>
      <c r="C2000" s="35"/>
      <c r="D2000" s="35" t="s">
        <v>7934</v>
      </c>
      <c r="E2000" s="35" t="s">
        <v>6267</v>
      </c>
      <c r="F2000" s="36">
        <v>0</v>
      </c>
      <c r="G2000" s="35" t="s">
        <v>6268</v>
      </c>
      <c r="H2000" s="35" t="s">
        <v>6270</v>
      </c>
    </row>
    <row r="2001" spans="1:8" ht="23.1" thickBot="1" x14ac:dyDescent="0.6">
      <c r="A2001" s="44"/>
      <c r="B2001" s="37"/>
      <c r="C2001" s="35"/>
      <c r="D2001" s="35"/>
      <c r="E2001" s="35" t="s">
        <v>6271</v>
      </c>
      <c r="F2001" s="36">
        <v>0</v>
      </c>
      <c r="G2001" s="35" t="s">
        <v>6272</v>
      </c>
      <c r="H2001" s="35" t="s">
        <v>6274</v>
      </c>
    </row>
    <row r="2002" spans="1:8" ht="14.7" thickBot="1" x14ac:dyDescent="0.6">
      <c r="A2002" s="44"/>
      <c r="B2002" s="37"/>
      <c r="C2002" s="35"/>
      <c r="D2002" s="35"/>
      <c r="E2002" s="35" t="s">
        <v>6275</v>
      </c>
      <c r="F2002" s="36">
        <v>0</v>
      </c>
      <c r="G2002" s="35" t="s">
        <v>6276</v>
      </c>
      <c r="H2002" s="35" t="s">
        <v>6278</v>
      </c>
    </row>
    <row r="2003" spans="1:8" ht="14.7" thickBot="1" x14ac:dyDescent="0.6">
      <c r="A2003" s="44"/>
      <c r="B2003" s="37"/>
      <c r="C2003" s="35"/>
      <c r="D2003" s="35"/>
      <c r="E2003" s="35" t="s">
        <v>6279</v>
      </c>
      <c r="F2003" s="36">
        <v>0</v>
      </c>
      <c r="G2003" s="35" t="s">
        <v>6280</v>
      </c>
      <c r="H2003" s="35" t="s">
        <v>6282</v>
      </c>
    </row>
    <row r="2004" spans="1:8" ht="23.1" thickBot="1" x14ac:dyDescent="0.6">
      <c r="A2004" s="44"/>
      <c r="B2004" s="37"/>
      <c r="C2004" s="35"/>
      <c r="D2004" s="35"/>
      <c r="E2004" s="35" t="s">
        <v>6283</v>
      </c>
      <c r="F2004" s="36">
        <v>0</v>
      </c>
      <c r="G2004" s="35" t="s">
        <v>6284</v>
      </c>
      <c r="H2004" s="35" t="s">
        <v>6286</v>
      </c>
    </row>
    <row r="2005" spans="1:8" ht="23.1" thickBot="1" x14ac:dyDescent="0.6">
      <c r="A2005" s="44"/>
      <c r="B2005" s="37"/>
      <c r="C2005" s="35"/>
      <c r="D2005" s="35"/>
      <c r="E2005" s="35" t="s">
        <v>6287</v>
      </c>
      <c r="F2005" s="36">
        <v>0</v>
      </c>
      <c r="G2005" s="35" t="s">
        <v>6288</v>
      </c>
      <c r="H2005" s="35" t="s">
        <v>6290</v>
      </c>
    </row>
    <row r="2006" spans="1:8" ht="23.1" thickBot="1" x14ac:dyDescent="0.6">
      <c r="A2006" s="44"/>
      <c r="B2006" s="37"/>
      <c r="C2006" s="35"/>
      <c r="D2006" s="35"/>
      <c r="E2006" s="35" t="s">
        <v>6291</v>
      </c>
      <c r="F2006" s="36">
        <v>0</v>
      </c>
      <c r="G2006" s="35" t="s">
        <v>6292</v>
      </c>
      <c r="H2006" s="35" t="s">
        <v>6294</v>
      </c>
    </row>
    <row r="2007" spans="1:8" ht="23.1" thickBot="1" x14ac:dyDescent="0.6">
      <c r="A2007" s="44"/>
      <c r="B2007" s="37"/>
      <c r="C2007" s="35" t="s">
        <v>6805</v>
      </c>
      <c r="D2007" s="35" t="s">
        <v>7935</v>
      </c>
      <c r="E2007" s="35"/>
      <c r="F2007" s="36"/>
      <c r="G2007" s="35"/>
      <c r="H2007" s="35"/>
    </row>
    <row r="2008" spans="1:8" ht="23.1" thickBot="1" x14ac:dyDescent="0.6">
      <c r="A2008" s="44"/>
      <c r="B2008" s="37"/>
      <c r="C2008" s="35"/>
      <c r="D2008" s="35" t="s">
        <v>7936</v>
      </c>
      <c r="E2008" s="35"/>
      <c r="F2008" s="36"/>
      <c r="G2008" s="35"/>
      <c r="H2008" s="35"/>
    </row>
    <row r="2009" spans="1:8" ht="23.1" thickBot="1" x14ac:dyDescent="0.6">
      <c r="A2009" s="44"/>
      <c r="B2009" s="37"/>
      <c r="C2009" s="35"/>
      <c r="D2009" s="35"/>
      <c r="E2009" s="35" t="s">
        <v>6295</v>
      </c>
      <c r="F2009" s="36">
        <v>0</v>
      </c>
      <c r="G2009" s="35" t="s">
        <v>6296</v>
      </c>
      <c r="H2009" s="35" t="s">
        <v>6298</v>
      </c>
    </row>
    <row r="2010" spans="1:8" ht="14.7" thickBot="1" x14ac:dyDescent="0.6">
      <c r="A2010" s="44"/>
      <c r="B2010" s="37"/>
      <c r="C2010" s="35"/>
      <c r="D2010" s="35"/>
      <c r="E2010" s="35"/>
      <c r="F2010" s="36"/>
      <c r="G2010" s="35"/>
      <c r="H2010" s="35"/>
    </row>
    <row r="2011" spans="1:8" ht="14.7" thickBot="1" x14ac:dyDescent="0.6">
      <c r="A2011" s="44"/>
      <c r="B2011" s="37"/>
      <c r="C2011" s="35"/>
      <c r="D2011" s="35"/>
      <c r="E2011" s="35"/>
      <c r="F2011" s="36"/>
      <c r="G2011" s="35"/>
      <c r="H2011" s="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E3B1E-77D1-4583-99F0-00C2513B8ABB}">
  <dimension ref="A1:N67"/>
  <sheetViews>
    <sheetView workbookViewId="0">
      <pane ySplit="2" topLeftCell="A3" activePane="bottomLeft" state="frozen"/>
      <selection pane="bottomLeft" activeCell="B11" sqref="B11"/>
    </sheetView>
  </sheetViews>
  <sheetFormatPr defaultRowHeight="14.4" x14ac:dyDescent="0.55000000000000004"/>
  <cols>
    <col min="2" max="2" width="12.62890625" bestFit="1" customWidth="1"/>
    <col min="3" max="3" width="12.05078125" customWidth="1"/>
    <col min="4" max="4" width="19.3125" customWidth="1"/>
    <col min="5" max="5" width="15.15625" customWidth="1"/>
    <col min="6" max="6" width="31.578125" customWidth="1"/>
    <col min="7" max="7" width="39.15625" bestFit="1" customWidth="1"/>
    <col min="8" max="8" width="35.3671875" bestFit="1" customWidth="1"/>
  </cols>
  <sheetData>
    <row r="1" spans="1:14" x14ac:dyDescent="0.55000000000000004">
      <c r="B1" s="20" t="s">
        <v>6947</v>
      </c>
      <c r="C1" s="20"/>
      <c r="D1" s="20"/>
      <c r="E1" s="20"/>
      <c r="F1" s="20"/>
      <c r="G1" s="10" t="s">
        <v>6299</v>
      </c>
      <c r="H1" s="10"/>
      <c r="I1" s="10"/>
      <c r="J1" s="10"/>
      <c r="K1" s="10"/>
      <c r="L1" s="10"/>
      <c r="M1" s="10"/>
      <c r="N1" s="10"/>
    </row>
    <row r="2" spans="1:14" x14ac:dyDescent="0.55000000000000004">
      <c r="B2" s="20" t="s">
        <v>6945</v>
      </c>
      <c r="C2" s="20" t="s">
        <v>6886</v>
      </c>
      <c r="D2" s="20" t="s">
        <v>6838</v>
      </c>
      <c r="E2" s="20" t="s">
        <v>6871</v>
      </c>
      <c r="F2" s="20"/>
      <c r="G2" s="18" t="s">
        <v>6946</v>
      </c>
      <c r="H2" s="18" t="s">
        <v>6302</v>
      </c>
      <c r="I2" s="18" t="s">
        <v>6303</v>
      </c>
      <c r="J2" s="18" t="s">
        <v>6304</v>
      </c>
      <c r="K2" s="18" t="s">
        <v>6305</v>
      </c>
      <c r="L2" s="19" t="s">
        <v>6306</v>
      </c>
      <c r="M2" s="18" t="s">
        <v>6304</v>
      </c>
      <c r="N2" s="10" t="s">
        <v>6871</v>
      </c>
    </row>
    <row r="3" spans="1:14" x14ac:dyDescent="0.55000000000000004">
      <c r="A3" t="s">
        <v>8221</v>
      </c>
      <c r="B3" t="s">
        <v>6330</v>
      </c>
      <c r="D3" t="s">
        <v>6855</v>
      </c>
      <c r="E3" t="s">
        <v>6880</v>
      </c>
      <c r="G3" s="15" t="s">
        <v>6869</v>
      </c>
      <c r="H3" s="15"/>
      <c r="I3" s="15"/>
      <c r="J3" s="15"/>
      <c r="K3" s="15"/>
      <c r="L3" s="16"/>
      <c r="M3" s="15"/>
      <c r="N3" s="13"/>
    </row>
    <row r="4" spans="1:14" x14ac:dyDescent="0.55000000000000004">
      <c r="A4" t="s">
        <v>8220</v>
      </c>
      <c r="B4" t="s">
        <v>6887</v>
      </c>
      <c r="D4" t="s">
        <v>6913</v>
      </c>
      <c r="E4" t="s">
        <v>6914</v>
      </c>
      <c r="F4" t="s">
        <v>6881</v>
      </c>
      <c r="G4" s="15" t="s">
        <v>6915</v>
      </c>
      <c r="H4" s="15"/>
      <c r="I4" s="15"/>
      <c r="J4" s="15"/>
      <c r="K4" s="15"/>
      <c r="L4" s="16"/>
      <c r="M4" s="15"/>
      <c r="N4" s="13"/>
    </row>
    <row r="5" spans="1:14" x14ac:dyDescent="0.55000000000000004">
      <c r="A5" t="s">
        <v>8221</v>
      </c>
      <c r="B5" t="s">
        <v>6888</v>
      </c>
      <c r="D5" t="s">
        <v>6916</v>
      </c>
      <c r="E5" t="s">
        <v>6318</v>
      </c>
      <c r="G5" s="15" t="s">
        <v>6869</v>
      </c>
      <c r="H5" s="15"/>
      <c r="I5" s="15"/>
      <c r="J5" s="15"/>
      <c r="K5" s="15"/>
      <c r="L5" s="16"/>
      <c r="M5" s="15"/>
      <c r="N5" s="13"/>
    </row>
    <row r="6" spans="1:14" x14ac:dyDescent="0.55000000000000004">
      <c r="A6" t="s">
        <v>8221</v>
      </c>
      <c r="B6" t="s">
        <v>6889</v>
      </c>
      <c r="C6" t="s">
        <v>8215</v>
      </c>
      <c r="D6" t="s">
        <v>6917</v>
      </c>
      <c r="G6" s="15" t="s">
        <v>6869</v>
      </c>
      <c r="H6" s="15"/>
      <c r="I6" s="15"/>
      <c r="J6" s="15"/>
      <c r="K6" s="15"/>
      <c r="L6" s="16"/>
      <c r="M6" s="15"/>
      <c r="N6" s="13"/>
    </row>
    <row r="7" spans="1:14" x14ac:dyDescent="0.55000000000000004">
      <c r="A7" t="s">
        <v>8221</v>
      </c>
      <c r="B7" t="s">
        <v>6919</v>
      </c>
      <c r="C7" t="s">
        <v>8215</v>
      </c>
      <c r="D7" t="s">
        <v>6920</v>
      </c>
      <c r="G7" s="15" t="s">
        <v>6869</v>
      </c>
      <c r="H7" s="15"/>
      <c r="I7" s="15"/>
      <c r="J7" s="15"/>
      <c r="K7" s="15"/>
      <c r="L7" s="16"/>
      <c r="M7" s="15"/>
      <c r="N7" s="13"/>
    </row>
    <row r="8" spans="1:14" x14ac:dyDescent="0.55000000000000004">
      <c r="A8" t="s">
        <v>8221</v>
      </c>
      <c r="B8" t="s">
        <v>6890</v>
      </c>
      <c r="C8" t="s">
        <v>8215</v>
      </c>
      <c r="D8" t="s">
        <v>6918</v>
      </c>
      <c r="G8" s="15" t="s">
        <v>6869</v>
      </c>
      <c r="H8" s="15"/>
      <c r="I8" s="15"/>
      <c r="J8" s="15"/>
      <c r="K8" s="15"/>
      <c r="L8" s="16"/>
      <c r="M8" s="15"/>
      <c r="N8" s="13"/>
    </row>
    <row r="9" spans="1:14" x14ac:dyDescent="0.55000000000000004">
      <c r="A9" t="s">
        <v>8220</v>
      </c>
      <c r="B9" s="12" t="s">
        <v>6891</v>
      </c>
      <c r="C9" s="12"/>
      <c r="D9" s="12" t="s">
        <v>6921</v>
      </c>
      <c r="E9" s="12"/>
      <c r="F9" s="12"/>
      <c r="G9" s="57" t="s">
        <v>8223</v>
      </c>
      <c r="H9" s="15"/>
      <c r="I9" s="15"/>
      <c r="J9" s="15"/>
      <c r="K9" s="15"/>
      <c r="L9" s="16"/>
      <c r="M9" s="15"/>
      <c r="N9" s="13"/>
    </row>
    <row r="10" spans="1:14" x14ac:dyDescent="0.55000000000000004">
      <c r="A10" t="s">
        <v>8221</v>
      </c>
      <c r="B10" t="s">
        <v>6892</v>
      </c>
      <c r="C10" t="s">
        <v>8215</v>
      </c>
      <c r="D10" t="s">
        <v>6922</v>
      </c>
      <c r="G10" s="15" t="s">
        <v>6869</v>
      </c>
      <c r="H10" s="15"/>
      <c r="I10" s="15"/>
      <c r="J10" s="15"/>
      <c r="K10" s="15"/>
      <c r="L10" s="16"/>
      <c r="M10" s="15"/>
      <c r="N10" s="13"/>
    </row>
    <row r="11" spans="1:14" x14ac:dyDescent="0.55000000000000004">
      <c r="A11" t="s">
        <v>8221</v>
      </c>
      <c r="B11" t="s">
        <v>6331</v>
      </c>
      <c r="D11" t="s">
        <v>6856</v>
      </c>
      <c r="G11" s="13" t="s">
        <v>6869</v>
      </c>
      <c r="H11" s="15"/>
      <c r="I11" s="15"/>
      <c r="J11" s="15"/>
      <c r="K11" s="15"/>
      <c r="L11" s="16"/>
      <c r="M11" s="15"/>
      <c r="N11" s="13"/>
    </row>
    <row r="12" spans="1:14" x14ac:dyDescent="0.55000000000000004">
      <c r="B12" s="12" t="s">
        <v>6312</v>
      </c>
      <c r="D12" t="s">
        <v>6839</v>
      </c>
      <c r="F12" t="s">
        <v>8212</v>
      </c>
      <c r="G12" s="17"/>
      <c r="H12" s="57" t="s">
        <v>6962</v>
      </c>
      <c r="I12" s="15"/>
      <c r="J12" s="15"/>
      <c r="K12" s="15"/>
      <c r="L12" s="16"/>
      <c r="M12" s="15"/>
      <c r="N12" s="13"/>
    </row>
    <row r="13" spans="1:14" x14ac:dyDescent="0.55000000000000004">
      <c r="A13" t="s">
        <v>8220</v>
      </c>
      <c r="B13" t="s">
        <v>6313</v>
      </c>
      <c r="D13" t="s">
        <v>6840</v>
      </c>
      <c r="G13" s="13" t="s">
        <v>6877</v>
      </c>
      <c r="H13" s="13"/>
      <c r="I13" s="13"/>
      <c r="J13" s="13"/>
      <c r="K13" s="15"/>
      <c r="L13" s="16"/>
      <c r="M13" s="15"/>
      <c r="N13" s="13"/>
    </row>
    <row r="14" spans="1:14" x14ac:dyDescent="0.55000000000000004">
      <c r="A14" t="s">
        <v>8221</v>
      </c>
      <c r="B14" s="12" t="s">
        <v>6332</v>
      </c>
      <c r="C14" t="s">
        <v>8216</v>
      </c>
      <c r="D14" t="s">
        <v>6857</v>
      </c>
      <c r="G14" s="15" t="s">
        <v>8237</v>
      </c>
      <c r="H14" s="15"/>
      <c r="I14" s="15"/>
      <c r="J14" s="15"/>
      <c r="K14" s="15" t="s">
        <v>6939</v>
      </c>
      <c r="L14" s="16"/>
      <c r="M14" s="15"/>
      <c r="N14" s="13"/>
    </row>
    <row r="15" spans="1:14" x14ac:dyDescent="0.55000000000000004">
      <c r="A15" t="s">
        <v>8220</v>
      </c>
      <c r="B15" s="12" t="s">
        <v>6333</v>
      </c>
      <c r="D15" t="s">
        <v>6858</v>
      </c>
      <c r="E15" t="s">
        <v>2902</v>
      </c>
      <c r="F15" t="s">
        <v>6881</v>
      </c>
      <c r="G15" s="57" t="s">
        <v>8218</v>
      </c>
      <c r="H15" s="15"/>
      <c r="I15" s="15"/>
      <c r="J15" s="15"/>
      <c r="K15" s="15"/>
      <c r="L15" s="16"/>
      <c r="M15" s="15"/>
      <c r="N15" s="13" t="s">
        <v>6948</v>
      </c>
    </row>
    <row r="16" spans="1:14" x14ac:dyDescent="0.55000000000000004">
      <c r="A16" t="s">
        <v>8221</v>
      </c>
      <c r="B16" s="11"/>
      <c r="G16" s="57" t="s">
        <v>8219</v>
      </c>
      <c r="H16" s="15"/>
      <c r="I16" s="15"/>
      <c r="J16" s="15"/>
      <c r="K16" s="15"/>
      <c r="L16" s="16"/>
      <c r="M16" s="15"/>
      <c r="N16" s="13"/>
    </row>
    <row r="17" spans="1:14" x14ac:dyDescent="0.55000000000000004">
      <c r="A17" t="s">
        <v>8221</v>
      </c>
      <c r="B17" t="s">
        <v>6321</v>
      </c>
      <c r="D17" t="s">
        <v>6847</v>
      </c>
      <c r="G17" s="13" t="s">
        <v>6963</v>
      </c>
      <c r="H17" s="15"/>
      <c r="I17" s="15"/>
      <c r="J17" s="15"/>
      <c r="K17" s="15"/>
      <c r="L17" s="16"/>
      <c r="M17" s="15"/>
      <c r="N17" s="13"/>
    </row>
    <row r="18" spans="1:14" x14ac:dyDescent="0.55000000000000004">
      <c r="A18" t="s">
        <v>8221</v>
      </c>
      <c r="B18" t="s">
        <v>6893</v>
      </c>
      <c r="D18" t="s">
        <v>6926</v>
      </c>
      <c r="G18" s="15" t="s">
        <v>6869</v>
      </c>
      <c r="H18" s="15"/>
      <c r="I18" s="15"/>
      <c r="J18" s="15"/>
      <c r="K18" s="15"/>
      <c r="L18" s="16"/>
      <c r="M18" s="15"/>
      <c r="N18" s="13"/>
    </row>
    <row r="19" spans="1:14" x14ac:dyDescent="0.55000000000000004">
      <c r="A19" t="s">
        <v>8221</v>
      </c>
      <c r="B19" s="12" t="s">
        <v>6894</v>
      </c>
      <c r="D19" t="s">
        <v>6923</v>
      </c>
      <c r="G19" s="15" t="s">
        <v>6869</v>
      </c>
      <c r="H19" s="15"/>
      <c r="I19" s="15"/>
      <c r="J19" s="15"/>
      <c r="K19" s="15"/>
      <c r="L19" s="16"/>
      <c r="M19" s="15"/>
      <c r="N19" s="13"/>
    </row>
    <row r="20" spans="1:14" x14ac:dyDescent="0.55000000000000004">
      <c r="A20" t="s">
        <v>8221</v>
      </c>
      <c r="B20" s="12" t="s">
        <v>6895</v>
      </c>
      <c r="C20" t="s">
        <v>6950</v>
      </c>
      <c r="D20" t="s">
        <v>6924</v>
      </c>
      <c r="G20" s="15" t="s">
        <v>6869</v>
      </c>
      <c r="H20" s="15"/>
      <c r="I20" s="15"/>
      <c r="J20" s="15"/>
      <c r="K20" s="15"/>
      <c r="L20" s="16"/>
      <c r="M20" s="15"/>
      <c r="N20" s="13"/>
    </row>
    <row r="21" spans="1:14" x14ac:dyDescent="0.55000000000000004">
      <c r="A21" t="s">
        <v>8220</v>
      </c>
      <c r="B21" s="12" t="s">
        <v>6896</v>
      </c>
      <c r="D21" t="s">
        <v>6925</v>
      </c>
      <c r="E21" t="s">
        <v>6949</v>
      </c>
      <c r="F21" t="s">
        <v>6881</v>
      </c>
      <c r="G21" s="15" t="s">
        <v>6896</v>
      </c>
      <c r="H21" s="15"/>
      <c r="I21" s="15"/>
      <c r="J21" s="15"/>
      <c r="K21" s="15" t="s">
        <v>6941</v>
      </c>
      <c r="L21" s="16"/>
      <c r="M21" s="15"/>
      <c r="N21" s="13" t="s">
        <v>6949</v>
      </c>
    </row>
    <row r="22" spans="1:14" x14ac:dyDescent="0.55000000000000004">
      <c r="A22" t="s">
        <v>8221</v>
      </c>
      <c r="B22" t="s">
        <v>6314</v>
      </c>
      <c r="D22" t="s">
        <v>6841</v>
      </c>
      <c r="G22" s="13" t="s">
        <v>6869</v>
      </c>
      <c r="H22" s="15"/>
      <c r="I22" s="15"/>
      <c r="J22" s="15"/>
      <c r="K22" s="15"/>
      <c r="L22" s="16"/>
      <c r="M22" s="15"/>
      <c r="N22" s="13"/>
    </row>
    <row r="23" spans="1:14" x14ac:dyDescent="0.55000000000000004">
      <c r="A23" t="s">
        <v>8220</v>
      </c>
      <c r="B23" t="s">
        <v>0</v>
      </c>
      <c r="D23" t="s">
        <v>6842</v>
      </c>
      <c r="F23" t="s">
        <v>6881</v>
      </c>
      <c r="G23" s="13" t="s">
        <v>6873</v>
      </c>
      <c r="H23" s="13" t="s">
        <v>6345</v>
      </c>
      <c r="I23" s="13"/>
      <c r="J23" s="13"/>
      <c r="K23" s="13" t="s">
        <v>6874</v>
      </c>
      <c r="L23" s="16"/>
      <c r="M23" s="15"/>
      <c r="N23" s="13"/>
    </row>
    <row r="24" spans="1:14" x14ac:dyDescent="0.55000000000000004">
      <c r="A24" t="s">
        <v>8221</v>
      </c>
      <c r="B24" t="s">
        <v>4</v>
      </c>
      <c r="D24" t="s">
        <v>6843</v>
      </c>
      <c r="G24" s="13" t="s">
        <v>6869</v>
      </c>
      <c r="H24" s="13"/>
      <c r="I24" s="15"/>
      <c r="J24" s="15"/>
      <c r="K24" s="15"/>
      <c r="L24" s="16"/>
      <c r="M24" s="15"/>
      <c r="N24" s="13"/>
    </row>
    <row r="25" spans="1:14" x14ac:dyDescent="0.55000000000000004">
      <c r="A25" t="s">
        <v>8221</v>
      </c>
      <c r="B25" t="s">
        <v>6322</v>
      </c>
      <c r="D25" t="s">
        <v>6848</v>
      </c>
      <c r="G25" s="13" t="s">
        <v>6869</v>
      </c>
      <c r="H25" s="15"/>
      <c r="I25" s="15"/>
      <c r="J25" s="15"/>
      <c r="K25" s="15"/>
      <c r="L25" s="16"/>
      <c r="M25" s="15"/>
      <c r="N25" s="13"/>
    </row>
    <row r="26" spans="1:14" x14ac:dyDescent="0.55000000000000004">
      <c r="A26" t="s">
        <v>8221</v>
      </c>
      <c r="B26" t="s">
        <v>6334</v>
      </c>
      <c r="D26" t="s">
        <v>6859</v>
      </c>
      <c r="G26" s="13" t="s">
        <v>6869</v>
      </c>
      <c r="H26" s="15"/>
      <c r="I26" s="15"/>
      <c r="J26" s="15"/>
      <c r="K26" s="15"/>
      <c r="L26" s="16"/>
      <c r="M26" s="15"/>
      <c r="N26" s="13"/>
    </row>
    <row r="27" spans="1:14" x14ac:dyDescent="0.55000000000000004">
      <c r="A27" t="s">
        <v>8220</v>
      </c>
      <c r="B27" t="s">
        <v>6323</v>
      </c>
      <c r="D27" t="s">
        <v>6849</v>
      </c>
      <c r="E27" t="s">
        <v>6940</v>
      </c>
      <c r="F27" t="s">
        <v>6881</v>
      </c>
      <c r="G27" t="s">
        <v>6323</v>
      </c>
      <c r="H27" s="15"/>
      <c r="I27" s="15"/>
      <c r="J27" s="15"/>
      <c r="K27" s="15" t="s">
        <v>6941</v>
      </c>
      <c r="L27" s="16"/>
      <c r="M27" s="15"/>
      <c r="N27" s="13" t="s">
        <v>6948</v>
      </c>
    </row>
    <row r="28" spans="1:14" x14ac:dyDescent="0.55000000000000004">
      <c r="A28" t="s">
        <v>8221</v>
      </c>
      <c r="B28" t="s">
        <v>6897</v>
      </c>
      <c r="D28" t="s">
        <v>6938</v>
      </c>
      <c r="G28" s="15" t="s">
        <v>6869</v>
      </c>
      <c r="H28" s="15"/>
      <c r="I28" s="15"/>
      <c r="J28" s="15"/>
      <c r="K28" s="15"/>
      <c r="L28" s="16"/>
      <c r="M28" s="15"/>
      <c r="N28" s="13"/>
    </row>
    <row r="29" spans="1:14" x14ac:dyDescent="0.55000000000000004">
      <c r="A29" t="s">
        <v>8220</v>
      </c>
      <c r="B29" s="12" t="s">
        <v>6898</v>
      </c>
      <c r="D29" t="s">
        <v>6927</v>
      </c>
      <c r="E29" t="s">
        <v>6942</v>
      </c>
      <c r="F29" t="s">
        <v>8227</v>
      </c>
      <c r="G29" s="15" t="s">
        <v>8228</v>
      </c>
      <c r="H29" s="15"/>
      <c r="I29" s="15"/>
      <c r="J29" s="15"/>
      <c r="K29" s="15" t="s">
        <v>6941</v>
      </c>
      <c r="L29" s="16"/>
      <c r="M29" s="15"/>
      <c r="N29" s="13"/>
    </row>
    <row r="30" spans="1:14" x14ac:dyDescent="0.55000000000000004">
      <c r="A30" t="s">
        <v>8220</v>
      </c>
      <c r="B30" t="s">
        <v>6315</v>
      </c>
      <c r="D30" t="s">
        <v>6844</v>
      </c>
      <c r="E30" t="s">
        <v>6872</v>
      </c>
      <c r="F30" t="s">
        <v>6881</v>
      </c>
      <c r="G30" s="13" t="s">
        <v>6870</v>
      </c>
      <c r="H30" s="13"/>
      <c r="I30" s="13"/>
      <c r="J30" s="13"/>
      <c r="K30" s="13" t="s">
        <v>6875</v>
      </c>
      <c r="L30" s="13"/>
      <c r="M30" s="13"/>
      <c r="N30" s="13" t="s">
        <v>6872</v>
      </c>
    </row>
    <row r="31" spans="1:14" x14ac:dyDescent="0.55000000000000004">
      <c r="A31" t="s">
        <v>8220</v>
      </c>
      <c r="B31" s="12" t="s">
        <v>6335</v>
      </c>
      <c r="D31" t="s">
        <v>6860</v>
      </c>
      <c r="F31" t="s">
        <v>6885</v>
      </c>
      <c r="G31" t="s">
        <v>6954</v>
      </c>
      <c r="H31" s="15"/>
      <c r="I31" s="15"/>
      <c r="J31" s="15"/>
      <c r="K31" s="15"/>
      <c r="L31" s="16"/>
      <c r="M31" s="15"/>
      <c r="N31" s="13"/>
    </row>
    <row r="32" spans="1:14" x14ac:dyDescent="0.55000000000000004">
      <c r="A32" t="s">
        <v>8221</v>
      </c>
      <c r="B32" s="12" t="s">
        <v>6899</v>
      </c>
      <c r="D32" t="s">
        <v>6929</v>
      </c>
      <c r="G32" s="57" t="s">
        <v>6869</v>
      </c>
      <c r="H32" s="15"/>
      <c r="I32" s="15"/>
      <c r="J32" s="15"/>
      <c r="K32" s="15"/>
      <c r="L32" s="16"/>
      <c r="M32" s="15"/>
      <c r="N32" s="13"/>
    </row>
    <row r="33" spans="1:14" x14ac:dyDescent="0.55000000000000004">
      <c r="A33" t="s">
        <v>8220</v>
      </c>
      <c r="B33" s="12" t="s">
        <v>6900</v>
      </c>
      <c r="D33" t="s">
        <v>6930</v>
      </c>
      <c r="E33" t="s">
        <v>6943</v>
      </c>
      <c r="F33" t="s">
        <v>6881</v>
      </c>
      <c r="G33" s="12" t="s">
        <v>8224</v>
      </c>
      <c r="H33" s="15"/>
      <c r="I33" s="15"/>
      <c r="J33" s="15"/>
      <c r="K33" s="15" t="s">
        <v>6941</v>
      </c>
      <c r="L33" s="16"/>
      <c r="M33" s="15"/>
      <c r="N33" s="13" t="s">
        <v>6944</v>
      </c>
    </row>
    <row r="34" spans="1:14" x14ac:dyDescent="0.55000000000000004">
      <c r="B34" s="11"/>
      <c r="F34" t="s">
        <v>6881</v>
      </c>
      <c r="G34" s="12" t="s">
        <v>8225</v>
      </c>
      <c r="H34" s="15"/>
      <c r="I34" s="15"/>
      <c r="J34" s="15"/>
      <c r="K34" s="15"/>
      <c r="L34" s="16"/>
      <c r="M34" s="15"/>
      <c r="N34" s="13"/>
    </row>
    <row r="35" spans="1:14" x14ac:dyDescent="0.55000000000000004">
      <c r="A35" t="s">
        <v>8221</v>
      </c>
      <c r="B35" t="s">
        <v>6901</v>
      </c>
      <c r="D35" t="s">
        <v>6931</v>
      </c>
      <c r="G35" s="15" t="s">
        <v>6869</v>
      </c>
      <c r="H35" s="15"/>
      <c r="I35" s="15"/>
      <c r="J35" s="15"/>
      <c r="K35" s="15"/>
      <c r="L35" s="16"/>
      <c r="M35" s="15"/>
      <c r="N35" s="13"/>
    </row>
    <row r="36" spans="1:14" x14ac:dyDescent="0.55000000000000004">
      <c r="A36" t="s">
        <v>8220</v>
      </c>
      <c r="B36" t="s">
        <v>6324</v>
      </c>
      <c r="D36" t="s">
        <v>6850</v>
      </c>
      <c r="E36" t="s">
        <v>6878</v>
      </c>
      <c r="F36" t="s">
        <v>6881</v>
      </c>
      <c r="G36" s="13" t="s">
        <v>6324</v>
      </c>
      <c r="H36" s="15"/>
      <c r="I36" s="15"/>
      <c r="J36" s="15"/>
      <c r="K36" s="15"/>
      <c r="L36" s="16"/>
      <c r="M36" s="15"/>
      <c r="N36" s="13"/>
    </row>
    <row r="37" spans="1:14" x14ac:dyDescent="0.55000000000000004">
      <c r="A37" t="s">
        <v>8221</v>
      </c>
      <c r="B37" s="12" t="s">
        <v>6902</v>
      </c>
      <c r="D37" t="s">
        <v>6928</v>
      </c>
      <c r="G37" s="12" t="s">
        <v>8226</v>
      </c>
      <c r="H37" s="15"/>
      <c r="I37" s="15"/>
      <c r="J37" s="15"/>
      <c r="K37" s="15"/>
      <c r="L37" s="16"/>
      <c r="M37" s="15"/>
      <c r="N37" s="13"/>
    </row>
    <row r="38" spans="1:14" x14ac:dyDescent="0.55000000000000004">
      <c r="A38" t="s">
        <v>8221</v>
      </c>
      <c r="B38" t="s">
        <v>6342</v>
      </c>
      <c r="D38" t="s">
        <v>6866</v>
      </c>
      <c r="G38" s="13" t="s">
        <v>6869</v>
      </c>
      <c r="H38" s="15"/>
      <c r="I38" s="15"/>
      <c r="J38" s="15"/>
      <c r="K38" s="15"/>
      <c r="L38" s="16"/>
      <c r="M38" s="15"/>
      <c r="N38" s="13"/>
    </row>
    <row r="39" spans="1:14" x14ac:dyDescent="0.55000000000000004">
      <c r="A39" t="s">
        <v>8221</v>
      </c>
      <c r="B39" t="s">
        <v>6903</v>
      </c>
      <c r="D39" t="s">
        <v>6937</v>
      </c>
      <c r="G39" s="15" t="s">
        <v>6869</v>
      </c>
      <c r="H39" s="15"/>
      <c r="I39" s="15"/>
      <c r="J39" s="15"/>
      <c r="K39" s="15"/>
      <c r="L39" s="16"/>
      <c r="M39" s="15"/>
      <c r="N39" s="13"/>
    </row>
    <row r="40" spans="1:14" x14ac:dyDescent="0.55000000000000004">
      <c r="A40" t="s">
        <v>8221</v>
      </c>
      <c r="B40" t="s">
        <v>6336</v>
      </c>
      <c r="D40" t="s">
        <v>6861</v>
      </c>
      <c r="G40" s="15" t="s">
        <v>6869</v>
      </c>
      <c r="H40" s="15"/>
      <c r="I40" s="15"/>
      <c r="J40" s="15"/>
      <c r="K40" s="15"/>
      <c r="L40" s="16"/>
      <c r="M40" s="15"/>
      <c r="N40" s="13"/>
    </row>
    <row r="41" spans="1:14" x14ac:dyDescent="0.55000000000000004">
      <c r="A41" t="s">
        <v>8221</v>
      </c>
      <c r="B41" t="s">
        <v>6343</v>
      </c>
      <c r="D41" t="s">
        <v>6867</v>
      </c>
      <c r="G41" s="13" t="s">
        <v>6869</v>
      </c>
      <c r="H41" s="15"/>
      <c r="I41" s="15"/>
      <c r="J41" s="15"/>
      <c r="K41" s="15"/>
      <c r="L41" s="16"/>
      <c r="M41" s="15"/>
      <c r="N41" s="13"/>
    </row>
    <row r="42" spans="1:14" x14ac:dyDescent="0.55000000000000004">
      <c r="A42" t="s">
        <v>8221</v>
      </c>
      <c r="B42" t="s">
        <v>6904</v>
      </c>
      <c r="D42" t="s">
        <v>6937</v>
      </c>
      <c r="G42" s="15" t="s">
        <v>6869</v>
      </c>
      <c r="H42" s="15"/>
      <c r="I42" s="15"/>
      <c r="J42" s="15"/>
      <c r="K42" s="15"/>
      <c r="L42" s="16"/>
      <c r="M42" s="15"/>
      <c r="N42" s="13"/>
    </row>
    <row r="43" spans="1:14" x14ac:dyDescent="0.55000000000000004">
      <c r="A43" t="s">
        <v>8221</v>
      </c>
      <c r="B43" t="s">
        <v>6905</v>
      </c>
      <c r="D43" t="s">
        <v>6937</v>
      </c>
      <c r="G43" s="15" t="s">
        <v>6869</v>
      </c>
      <c r="H43" s="15"/>
      <c r="I43" s="15"/>
      <c r="J43" s="15"/>
      <c r="K43" s="15"/>
      <c r="L43" s="16"/>
      <c r="M43" s="15"/>
      <c r="N43" s="13"/>
    </row>
    <row r="44" spans="1:14" x14ac:dyDescent="0.55000000000000004">
      <c r="A44" t="s">
        <v>8221</v>
      </c>
      <c r="B44" t="s">
        <v>6906</v>
      </c>
      <c r="D44" t="s">
        <v>6937</v>
      </c>
      <c r="G44" s="15" t="s">
        <v>6869</v>
      </c>
      <c r="H44" s="15"/>
      <c r="I44" s="15"/>
      <c r="J44" s="15"/>
      <c r="K44" s="15"/>
      <c r="L44" s="16"/>
      <c r="M44" s="15"/>
      <c r="N44" s="13"/>
    </row>
    <row r="45" spans="1:14" x14ac:dyDescent="0.55000000000000004">
      <c r="A45" t="s">
        <v>8221</v>
      </c>
      <c r="B45" t="s">
        <v>6344</v>
      </c>
      <c r="D45" t="s">
        <v>6868</v>
      </c>
      <c r="G45" s="13" t="s">
        <v>6869</v>
      </c>
      <c r="H45" s="15"/>
      <c r="I45" s="15"/>
      <c r="J45" s="15"/>
      <c r="K45" s="15"/>
      <c r="L45" s="16"/>
      <c r="M45" s="15"/>
      <c r="N45" s="13"/>
    </row>
    <row r="46" spans="1:14" x14ac:dyDescent="0.55000000000000004">
      <c r="A46" t="s">
        <v>8221</v>
      </c>
      <c r="B46" t="s">
        <v>6907</v>
      </c>
      <c r="C46" t="s">
        <v>6951</v>
      </c>
      <c r="D46" t="s">
        <v>6932</v>
      </c>
      <c r="E46" t="s">
        <v>6878</v>
      </c>
      <c r="G46" s="15" t="s">
        <v>6869</v>
      </c>
      <c r="H46" s="15"/>
      <c r="I46" s="15"/>
      <c r="J46" s="15"/>
      <c r="K46" s="15"/>
      <c r="L46" s="16"/>
      <c r="M46" s="15"/>
      <c r="N46" s="13"/>
    </row>
    <row r="47" spans="1:14" x14ac:dyDescent="0.55000000000000004">
      <c r="A47" t="s">
        <v>8221</v>
      </c>
      <c r="B47" s="12" t="s">
        <v>6908</v>
      </c>
      <c r="D47" t="s">
        <v>6933</v>
      </c>
      <c r="G47" s="57" t="s">
        <v>6869</v>
      </c>
      <c r="H47" s="15"/>
      <c r="I47" s="15"/>
      <c r="J47" s="15"/>
      <c r="K47" s="15"/>
      <c r="L47" s="16"/>
      <c r="M47" s="15"/>
      <c r="N47" s="13"/>
    </row>
    <row r="48" spans="1:14" x14ac:dyDescent="0.55000000000000004">
      <c r="A48" t="s">
        <v>8221</v>
      </c>
      <c r="B48" t="s">
        <v>6316</v>
      </c>
      <c r="D48" t="s">
        <v>6845</v>
      </c>
      <c r="G48" s="13" t="s">
        <v>6869</v>
      </c>
      <c r="H48" s="15"/>
      <c r="I48" s="15"/>
      <c r="J48" s="15"/>
      <c r="K48" s="15"/>
      <c r="L48" s="16"/>
      <c r="M48" s="15"/>
      <c r="N48" s="13"/>
    </row>
    <row r="49" spans="1:14" x14ac:dyDescent="0.55000000000000004">
      <c r="A49" t="s">
        <v>8221</v>
      </c>
      <c r="B49" s="12" t="s">
        <v>6909</v>
      </c>
      <c r="D49" t="s">
        <v>6934</v>
      </c>
      <c r="F49" t="s">
        <v>8222</v>
      </c>
      <c r="G49" t="s">
        <v>6952</v>
      </c>
      <c r="H49" s="15"/>
      <c r="I49" s="15"/>
      <c r="J49" s="15"/>
      <c r="K49" s="15"/>
      <c r="L49" s="16"/>
      <c r="M49" s="15"/>
      <c r="N49" s="13"/>
    </row>
    <row r="50" spans="1:14" x14ac:dyDescent="0.55000000000000004">
      <c r="A50" t="s">
        <v>8221</v>
      </c>
      <c r="B50" t="s">
        <v>6337</v>
      </c>
      <c r="C50" t="s">
        <v>8215</v>
      </c>
      <c r="D50" t="s">
        <v>6862</v>
      </c>
      <c r="G50" s="13" t="s">
        <v>6869</v>
      </c>
      <c r="H50" s="15"/>
      <c r="I50" s="15"/>
      <c r="J50" s="15"/>
      <c r="K50" s="15"/>
      <c r="L50" s="16"/>
      <c r="M50" s="15"/>
      <c r="N50" s="13"/>
    </row>
    <row r="51" spans="1:14" x14ac:dyDescent="0.55000000000000004">
      <c r="A51" t="s">
        <v>8221</v>
      </c>
      <c r="B51" t="s">
        <v>6338</v>
      </c>
      <c r="C51" t="s">
        <v>8215</v>
      </c>
      <c r="D51" t="s">
        <v>6863</v>
      </c>
      <c r="G51" s="13" t="s">
        <v>6869</v>
      </c>
      <c r="H51" s="15"/>
      <c r="I51" s="15"/>
      <c r="J51" s="15"/>
      <c r="K51" s="15"/>
      <c r="L51" s="16"/>
      <c r="M51" s="15"/>
      <c r="N51" s="13"/>
    </row>
    <row r="52" spans="1:14" x14ac:dyDescent="0.55000000000000004">
      <c r="A52" t="s">
        <v>8221</v>
      </c>
      <c r="B52" t="s">
        <v>6339</v>
      </c>
      <c r="C52" t="s">
        <v>8215</v>
      </c>
      <c r="D52" t="s">
        <v>6864</v>
      </c>
      <c r="G52" s="13" t="s">
        <v>6869</v>
      </c>
      <c r="H52" s="15"/>
      <c r="I52" s="15"/>
      <c r="J52" s="15"/>
      <c r="K52" s="15"/>
      <c r="L52" s="16"/>
      <c r="M52" s="15"/>
      <c r="N52" s="13"/>
    </row>
    <row r="53" spans="1:14" x14ac:dyDescent="0.55000000000000004">
      <c r="A53" t="s">
        <v>8221</v>
      </c>
      <c r="B53" t="s">
        <v>6317</v>
      </c>
      <c r="D53" t="s">
        <v>6846</v>
      </c>
      <c r="G53" s="13" t="s">
        <v>6869</v>
      </c>
      <c r="H53" s="15"/>
      <c r="I53" s="15"/>
      <c r="J53" s="15"/>
      <c r="K53" s="15"/>
      <c r="L53" s="16"/>
      <c r="M53" s="15"/>
      <c r="N53" s="13"/>
    </row>
    <row r="54" spans="1:14" x14ac:dyDescent="0.55000000000000004">
      <c r="A54" t="s">
        <v>8220</v>
      </c>
      <c r="B54" s="12" t="s">
        <v>6910</v>
      </c>
      <c r="D54" t="s">
        <v>6953</v>
      </c>
      <c r="F54" s="12" t="s">
        <v>6881</v>
      </c>
      <c r="G54" s="15" t="s">
        <v>6910</v>
      </c>
      <c r="H54" s="15"/>
      <c r="I54" s="15"/>
      <c r="J54" s="15"/>
      <c r="K54" s="15"/>
      <c r="L54" s="16"/>
      <c r="M54" s="15"/>
      <c r="N54" s="13"/>
    </row>
    <row r="55" spans="1:14" x14ac:dyDescent="0.55000000000000004">
      <c r="A55" t="s">
        <v>8220</v>
      </c>
      <c r="B55" t="s">
        <v>6325</v>
      </c>
      <c r="D55" t="s">
        <v>6851</v>
      </c>
      <c r="F55" s="12" t="s">
        <v>6881</v>
      </c>
      <c r="G55" s="15" t="s">
        <v>6325</v>
      </c>
      <c r="H55" s="15"/>
      <c r="I55" s="15"/>
      <c r="J55" s="15"/>
      <c r="K55" s="15"/>
      <c r="L55" s="16"/>
      <c r="M55" s="15"/>
      <c r="N55" s="13"/>
    </row>
    <row r="56" spans="1:14" x14ac:dyDescent="0.55000000000000004">
      <c r="A56" t="s">
        <v>8220</v>
      </c>
      <c r="B56" t="s">
        <v>6911</v>
      </c>
      <c r="D56" t="s">
        <v>6935</v>
      </c>
      <c r="F56" s="12" t="s">
        <v>6881</v>
      </c>
      <c r="G56" s="15" t="s">
        <v>6911</v>
      </c>
      <c r="H56" s="15"/>
      <c r="I56" s="15"/>
      <c r="J56" s="15"/>
      <c r="K56" s="15"/>
      <c r="L56" s="16"/>
      <c r="M56" s="15"/>
      <c r="N56" s="13"/>
    </row>
    <row r="57" spans="1:14" x14ac:dyDescent="0.55000000000000004">
      <c r="A57" t="s">
        <v>8221</v>
      </c>
      <c r="B57" s="12" t="s">
        <v>6326</v>
      </c>
      <c r="D57" t="s">
        <v>6852</v>
      </c>
      <c r="G57" s="15" t="s">
        <v>6869</v>
      </c>
      <c r="H57" s="15"/>
      <c r="I57" s="15"/>
      <c r="J57" s="15"/>
      <c r="K57" s="15"/>
      <c r="L57" s="16"/>
      <c r="M57" s="15"/>
      <c r="N57" s="13"/>
    </row>
    <row r="58" spans="1:14" x14ac:dyDescent="0.55000000000000004">
      <c r="A58" t="s">
        <v>8220</v>
      </c>
      <c r="B58" t="s">
        <v>6327</v>
      </c>
      <c r="D58" t="s">
        <v>6853</v>
      </c>
      <c r="E58" t="s">
        <v>6880</v>
      </c>
      <c r="F58" t="s">
        <v>6882</v>
      </c>
      <c r="G58" s="13" t="s">
        <v>6879</v>
      </c>
      <c r="H58" s="15"/>
      <c r="I58" s="15"/>
      <c r="J58" s="15"/>
      <c r="K58" s="15"/>
      <c r="L58" s="16"/>
      <c r="M58" s="15"/>
      <c r="N58" s="13"/>
    </row>
    <row r="59" spans="1:14" x14ac:dyDescent="0.55000000000000004">
      <c r="A59" t="s">
        <v>8221</v>
      </c>
      <c r="B59" t="s">
        <v>6912</v>
      </c>
      <c r="D59" t="s">
        <v>6936</v>
      </c>
      <c r="G59" s="15" t="s">
        <v>6869</v>
      </c>
      <c r="H59" s="15"/>
      <c r="I59" s="15"/>
      <c r="J59" s="15"/>
      <c r="K59" s="15"/>
      <c r="L59" s="16"/>
      <c r="M59" s="15"/>
      <c r="N59" s="13"/>
    </row>
    <row r="60" spans="1:14" x14ac:dyDescent="0.55000000000000004">
      <c r="A60" t="s">
        <v>8221</v>
      </c>
      <c r="B60" t="s">
        <v>6340</v>
      </c>
      <c r="D60" t="s">
        <v>6865</v>
      </c>
      <c r="G60" s="13" t="s">
        <v>6869</v>
      </c>
      <c r="H60" s="15"/>
      <c r="I60" s="15"/>
      <c r="J60" s="15"/>
      <c r="K60" s="15"/>
      <c r="L60" s="16"/>
      <c r="M60" s="15"/>
      <c r="N60" s="13"/>
    </row>
    <row r="61" spans="1:14" x14ac:dyDescent="0.55000000000000004">
      <c r="A61" t="s">
        <v>8220</v>
      </c>
      <c r="B61" t="s">
        <v>6328</v>
      </c>
      <c r="D61" t="s">
        <v>6854</v>
      </c>
      <c r="E61" t="s">
        <v>6872</v>
      </c>
      <c r="F61" t="s">
        <v>6881</v>
      </c>
      <c r="G61" s="13" t="s">
        <v>6876</v>
      </c>
      <c r="H61" s="13"/>
      <c r="I61" s="13"/>
      <c r="J61" s="13"/>
      <c r="K61" s="13" t="s">
        <v>6875</v>
      </c>
      <c r="L61" s="13"/>
      <c r="M61" s="13"/>
      <c r="N61" s="13" t="s">
        <v>6872</v>
      </c>
    </row>
    <row r="62" spans="1:14" x14ac:dyDescent="0.55000000000000004">
      <c r="G62" s="15"/>
      <c r="H62" s="15"/>
      <c r="I62" s="15"/>
      <c r="J62" s="15"/>
      <c r="K62" s="15"/>
      <c r="L62" s="16"/>
      <c r="M62" s="15"/>
      <c r="N62" s="13"/>
    </row>
    <row r="63" spans="1:14" x14ac:dyDescent="0.55000000000000004">
      <c r="G63" s="13"/>
      <c r="H63" s="13"/>
      <c r="I63" s="13"/>
      <c r="J63" s="13"/>
      <c r="K63" s="13"/>
      <c r="L63" s="13"/>
      <c r="M63" s="13"/>
      <c r="N63" s="13"/>
    </row>
    <row r="64" spans="1:14" x14ac:dyDescent="0.55000000000000004">
      <c r="G64" s="13"/>
      <c r="H64" s="13"/>
      <c r="I64" s="13"/>
      <c r="J64" s="13"/>
      <c r="K64" s="13"/>
      <c r="L64" s="13"/>
      <c r="M64" s="13"/>
      <c r="N64" s="13"/>
    </row>
    <row r="65" spans="7:14" x14ac:dyDescent="0.55000000000000004">
      <c r="G65" s="13"/>
      <c r="H65" s="13"/>
      <c r="I65" s="13"/>
      <c r="J65" s="13"/>
      <c r="K65" s="13"/>
      <c r="L65" s="13"/>
      <c r="M65" s="13"/>
      <c r="N65" s="13"/>
    </row>
    <row r="66" spans="7:14" x14ac:dyDescent="0.55000000000000004">
      <c r="G66" s="13"/>
      <c r="H66" s="13"/>
      <c r="I66" s="13"/>
      <c r="J66" s="13"/>
      <c r="K66" s="13"/>
      <c r="L66" s="13"/>
      <c r="M66" s="13"/>
      <c r="N66" s="13"/>
    </row>
    <row r="67" spans="7:14" x14ac:dyDescent="0.55000000000000004">
      <c r="G67" s="13"/>
      <c r="H67" s="13"/>
      <c r="I67" s="13"/>
      <c r="J67" s="13"/>
      <c r="K67" s="13"/>
      <c r="L67" s="13"/>
      <c r="M67" s="13"/>
      <c r="N67" s="13"/>
    </row>
  </sheetData>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42A1D-4F2E-4C63-9035-23080D373FBB}">
  <dimension ref="A2:L39"/>
  <sheetViews>
    <sheetView topLeftCell="A4" workbookViewId="0">
      <selection activeCell="C3" sqref="C3"/>
    </sheetView>
  </sheetViews>
  <sheetFormatPr defaultRowHeight="14.4" x14ac:dyDescent="0.55000000000000004"/>
  <cols>
    <col min="2" max="2" width="34.26171875" bestFit="1" customWidth="1"/>
    <col min="3" max="4" width="34.26171875" customWidth="1"/>
    <col min="5" max="5" width="14.05078125" bestFit="1" customWidth="1"/>
    <col min="6" max="6" width="35.3671875" bestFit="1" customWidth="1"/>
    <col min="7" max="7" width="19.1015625" bestFit="1" customWidth="1"/>
    <col min="8" max="8" width="20.41796875" bestFit="1" customWidth="1"/>
    <col min="10" max="10" width="12" customWidth="1"/>
  </cols>
  <sheetData>
    <row r="2" spans="1:12" x14ac:dyDescent="0.55000000000000004">
      <c r="A2" t="s">
        <v>6319</v>
      </c>
      <c r="B2" t="s">
        <v>6838</v>
      </c>
      <c r="C2" t="s">
        <v>6871</v>
      </c>
      <c r="E2" s="3" t="s">
        <v>6301</v>
      </c>
      <c r="F2" s="3" t="s">
        <v>6302</v>
      </c>
      <c r="G2" s="3" t="s">
        <v>6303</v>
      </c>
      <c r="H2" s="3" t="s">
        <v>6304</v>
      </c>
      <c r="I2" s="3" t="s">
        <v>6305</v>
      </c>
      <c r="J2" s="5" t="s">
        <v>6306</v>
      </c>
      <c r="K2" s="3" t="s">
        <v>6304</v>
      </c>
      <c r="L2" t="s">
        <v>6871</v>
      </c>
    </row>
    <row r="3" spans="1:12" x14ac:dyDescent="0.55000000000000004">
      <c r="A3" t="s">
        <v>6312</v>
      </c>
      <c r="B3" s="11" t="s">
        <v>6839</v>
      </c>
    </row>
    <row r="4" spans="1:12" x14ac:dyDescent="0.55000000000000004">
      <c r="A4" t="s">
        <v>6313</v>
      </c>
      <c r="B4" t="s">
        <v>6840</v>
      </c>
      <c r="E4" t="s">
        <v>6877</v>
      </c>
    </row>
    <row r="5" spans="1:12" x14ac:dyDescent="0.55000000000000004">
      <c r="A5" t="s">
        <v>6314</v>
      </c>
      <c r="B5" t="s">
        <v>6841</v>
      </c>
      <c r="E5" t="s">
        <v>6869</v>
      </c>
    </row>
    <row r="6" spans="1:12" x14ac:dyDescent="0.55000000000000004">
      <c r="A6" t="s">
        <v>0</v>
      </c>
      <c r="B6" t="s">
        <v>6842</v>
      </c>
      <c r="D6" t="s">
        <v>6881</v>
      </c>
      <c r="E6" t="s">
        <v>6873</v>
      </c>
      <c r="F6" t="s">
        <v>6345</v>
      </c>
      <c r="I6" t="s">
        <v>6874</v>
      </c>
    </row>
    <row r="7" spans="1:12" x14ac:dyDescent="0.55000000000000004">
      <c r="A7" t="s">
        <v>4</v>
      </c>
      <c r="B7" t="s">
        <v>6843</v>
      </c>
      <c r="E7" t="s">
        <v>6869</v>
      </c>
    </row>
    <row r="8" spans="1:12" x14ac:dyDescent="0.55000000000000004">
      <c r="A8" t="s">
        <v>6315</v>
      </c>
      <c r="B8" t="s">
        <v>6844</v>
      </c>
      <c r="C8" t="s">
        <v>7939</v>
      </c>
      <c r="D8" t="s">
        <v>6881</v>
      </c>
      <c r="E8" t="s">
        <v>6870</v>
      </c>
      <c r="F8" t="s">
        <v>6941</v>
      </c>
      <c r="I8" t="s">
        <v>6875</v>
      </c>
      <c r="L8" t="s">
        <v>6872</v>
      </c>
    </row>
    <row r="9" spans="1:12" x14ac:dyDescent="0.55000000000000004">
      <c r="A9" t="s">
        <v>6316</v>
      </c>
      <c r="B9" t="s">
        <v>6845</v>
      </c>
      <c r="E9" t="s">
        <v>6869</v>
      </c>
    </row>
    <row r="10" spans="1:12" x14ac:dyDescent="0.55000000000000004">
      <c r="A10" t="s">
        <v>6317</v>
      </c>
      <c r="B10" t="s">
        <v>6846</v>
      </c>
      <c r="E10" t="s">
        <v>6869</v>
      </c>
    </row>
    <row r="12" spans="1:12" x14ac:dyDescent="0.55000000000000004">
      <c r="A12" t="s">
        <v>6320</v>
      </c>
    </row>
    <row r="13" spans="1:12" x14ac:dyDescent="0.55000000000000004">
      <c r="A13" t="s">
        <v>6321</v>
      </c>
      <c r="B13" t="s">
        <v>6847</v>
      </c>
      <c r="D13" t="s">
        <v>6883</v>
      </c>
      <c r="E13" t="s">
        <v>6869</v>
      </c>
    </row>
    <row r="14" spans="1:12" x14ac:dyDescent="0.55000000000000004">
      <c r="A14" t="s">
        <v>6322</v>
      </c>
      <c r="B14" t="s">
        <v>6848</v>
      </c>
      <c r="E14" t="s">
        <v>6869</v>
      </c>
    </row>
    <row r="15" spans="1:12" x14ac:dyDescent="0.55000000000000004">
      <c r="A15" t="s">
        <v>6323</v>
      </c>
      <c r="B15" t="s">
        <v>6849</v>
      </c>
    </row>
    <row r="16" spans="1:12" x14ac:dyDescent="0.55000000000000004">
      <c r="A16" t="s">
        <v>6324</v>
      </c>
      <c r="B16" t="s">
        <v>6850</v>
      </c>
      <c r="C16" t="s">
        <v>6878</v>
      </c>
      <c r="D16" t="s">
        <v>6881</v>
      </c>
      <c r="E16" t="s">
        <v>6324</v>
      </c>
    </row>
    <row r="17" spans="1:12" x14ac:dyDescent="0.55000000000000004">
      <c r="A17" t="s">
        <v>6325</v>
      </c>
      <c r="B17" t="s">
        <v>6851</v>
      </c>
    </row>
    <row r="18" spans="1:12" x14ac:dyDescent="0.55000000000000004">
      <c r="A18" t="s">
        <v>6326</v>
      </c>
      <c r="B18" t="s">
        <v>6852</v>
      </c>
    </row>
    <row r="19" spans="1:12" x14ac:dyDescent="0.55000000000000004">
      <c r="A19" t="s">
        <v>6327</v>
      </c>
      <c r="B19" t="s">
        <v>6853</v>
      </c>
      <c r="C19" t="s">
        <v>6880</v>
      </c>
      <c r="D19" t="s">
        <v>6882</v>
      </c>
      <c r="E19" t="s">
        <v>6879</v>
      </c>
    </row>
    <row r="20" spans="1:12" x14ac:dyDescent="0.55000000000000004">
      <c r="A20" t="s">
        <v>6328</v>
      </c>
      <c r="B20" t="s">
        <v>6854</v>
      </c>
      <c r="C20" t="s">
        <v>6872</v>
      </c>
      <c r="D20" t="s">
        <v>7938</v>
      </c>
      <c r="E20" t="s">
        <v>6876</v>
      </c>
      <c r="I20" t="s">
        <v>6875</v>
      </c>
      <c r="L20" t="s">
        <v>6872</v>
      </c>
    </row>
    <row r="22" spans="1:12" x14ac:dyDescent="0.55000000000000004">
      <c r="A22" t="s">
        <v>6329</v>
      </c>
    </row>
    <row r="23" spans="1:12" x14ac:dyDescent="0.55000000000000004">
      <c r="A23" t="s">
        <v>6330</v>
      </c>
      <c r="B23" t="s">
        <v>6855</v>
      </c>
    </row>
    <row r="24" spans="1:12" x14ac:dyDescent="0.55000000000000004">
      <c r="A24" t="s">
        <v>6331</v>
      </c>
      <c r="B24" t="s">
        <v>6856</v>
      </c>
      <c r="E24" t="s">
        <v>6869</v>
      </c>
    </row>
    <row r="25" spans="1:12" x14ac:dyDescent="0.55000000000000004">
      <c r="A25" t="s">
        <v>6332</v>
      </c>
      <c r="B25" t="s">
        <v>6857</v>
      </c>
    </row>
    <row r="26" spans="1:12" x14ac:dyDescent="0.55000000000000004">
      <c r="A26" t="s">
        <v>6333</v>
      </c>
      <c r="B26" t="s">
        <v>6858</v>
      </c>
    </row>
    <row r="27" spans="1:12" x14ac:dyDescent="0.55000000000000004">
      <c r="A27" t="s">
        <v>6334</v>
      </c>
      <c r="B27" t="s">
        <v>6859</v>
      </c>
      <c r="E27" t="s">
        <v>6869</v>
      </c>
    </row>
    <row r="28" spans="1:12" x14ac:dyDescent="0.55000000000000004">
      <c r="A28" t="s">
        <v>6335</v>
      </c>
      <c r="B28" t="s">
        <v>6860</v>
      </c>
      <c r="D28" t="s">
        <v>6885</v>
      </c>
      <c r="E28" t="s">
        <v>6884</v>
      </c>
    </row>
    <row r="30" spans="1:12" x14ac:dyDescent="0.55000000000000004">
      <c r="A30" t="s">
        <v>6336</v>
      </c>
      <c r="B30" t="s">
        <v>6861</v>
      </c>
      <c r="E30" t="s">
        <v>6869</v>
      </c>
    </row>
    <row r="31" spans="1:12" x14ac:dyDescent="0.55000000000000004">
      <c r="A31" t="s">
        <v>6337</v>
      </c>
      <c r="B31" t="s">
        <v>6862</v>
      </c>
    </row>
    <row r="32" spans="1:12" x14ac:dyDescent="0.55000000000000004">
      <c r="A32" t="s">
        <v>6338</v>
      </c>
      <c r="B32" t="s">
        <v>6863</v>
      </c>
    </row>
    <row r="33" spans="1:5" x14ac:dyDescent="0.55000000000000004">
      <c r="A33" t="s">
        <v>6339</v>
      </c>
      <c r="B33" t="s">
        <v>6864</v>
      </c>
    </row>
    <row r="34" spans="1:5" x14ac:dyDescent="0.55000000000000004">
      <c r="A34" t="s">
        <v>6340</v>
      </c>
      <c r="B34" t="s">
        <v>6865</v>
      </c>
      <c r="E34" t="s">
        <v>6869</v>
      </c>
    </row>
    <row r="36" spans="1:5" x14ac:dyDescent="0.55000000000000004">
      <c r="A36" t="s">
        <v>6341</v>
      </c>
    </row>
    <row r="37" spans="1:5" x14ac:dyDescent="0.55000000000000004">
      <c r="A37" t="s">
        <v>6342</v>
      </c>
      <c r="B37" t="s">
        <v>6866</v>
      </c>
      <c r="E37" t="s">
        <v>6869</v>
      </c>
    </row>
    <row r="38" spans="1:5" x14ac:dyDescent="0.55000000000000004">
      <c r="A38" t="s">
        <v>6343</v>
      </c>
      <c r="B38" t="s">
        <v>6867</v>
      </c>
      <c r="E38" t="s">
        <v>6869</v>
      </c>
    </row>
    <row r="39" spans="1:5" x14ac:dyDescent="0.55000000000000004">
      <c r="A39" t="s">
        <v>6344</v>
      </c>
      <c r="B39" t="s">
        <v>6868</v>
      </c>
      <c r="E39" t="s">
        <v>6869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14882-763A-487F-9392-CACBB3B42723}">
  <dimension ref="A1:N56"/>
  <sheetViews>
    <sheetView topLeftCell="B1" workbookViewId="0">
      <selection activeCell="H15" sqref="H15"/>
    </sheetView>
  </sheetViews>
  <sheetFormatPr defaultRowHeight="14.4" x14ac:dyDescent="0.55000000000000004"/>
  <cols>
    <col min="1" max="1" width="23.47265625" bestFit="1" customWidth="1"/>
    <col min="2" max="2" width="23.47265625" customWidth="1"/>
    <col min="3" max="3" width="11.5234375" customWidth="1"/>
    <col min="4" max="4" width="47.3671875" customWidth="1"/>
    <col min="5" max="5" width="21.15625" bestFit="1" customWidth="1"/>
    <col min="6" max="6" width="18.9453125" customWidth="1"/>
    <col min="8" max="8" width="24.15625" customWidth="1"/>
    <col min="10" max="10" width="20.41796875" bestFit="1" customWidth="1"/>
  </cols>
  <sheetData>
    <row r="1" spans="1:14" x14ac:dyDescent="0.55000000000000004">
      <c r="A1" s="1" t="s">
        <v>1</v>
      </c>
      <c r="B1" s="2" t="s">
        <v>0</v>
      </c>
      <c r="C1" s="2" t="s">
        <v>4</v>
      </c>
      <c r="D1" s="2" t="s">
        <v>2</v>
      </c>
      <c r="E1" s="3" t="s">
        <v>6983</v>
      </c>
      <c r="F1" s="3" t="s">
        <v>6300</v>
      </c>
      <c r="G1" s="3" t="s">
        <v>6301</v>
      </c>
      <c r="H1" s="3" t="s">
        <v>6302</v>
      </c>
      <c r="I1" s="3" t="s">
        <v>6303</v>
      </c>
      <c r="J1" s="3" t="s">
        <v>6304</v>
      </c>
      <c r="K1" s="3" t="s">
        <v>6305</v>
      </c>
      <c r="L1" s="5" t="s">
        <v>6306</v>
      </c>
      <c r="M1" s="3" t="s">
        <v>6304</v>
      </c>
      <c r="N1" s="4"/>
    </row>
    <row r="2" spans="1:14" x14ac:dyDescent="0.55000000000000004">
      <c r="A2" s="4" t="s">
        <v>1423</v>
      </c>
      <c r="B2" s="47" t="s">
        <v>1420</v>
      </c>
      <c r="C2" s="47">
        <v>0</v>
      </c>
      <c r="D2" s="47" t="s">
        <v>1424</v>
      </c>
      <c r="E2" s="47" t="s">
        <v>6766</v>
      </c>
      <c r="F2" s="47" t="s">
        <v>6982</v>
      </c>
      <c r="G2" s="4" t="s">
        <v>6307</v>
      </c>
      <c r="H2" s="4" t="s">
        <v>6308</v>
      </c>
      <c r="I2" s="4" t="s">
        <v>6310</v>
      </c>
      <c r="J2" s="6" t="s">
        <v>6311</v>
      </c>
      <c r="K2" s="4" t="s">
        <v>6309</v>
      </c>
      <c r="L2" s="4"/>
      <c r="M2" s="4"/>
      <c r="N2" s="4"/>
    </row>
    <row r="3" spans="1:14" x14ac:dyDescent="0.55000000000000004">
      <c r="A3" t="s">
        <v>1426</v>
      </c>
      <c r="B3" s="47" t="s">
        <v>1420</v>
      </c>
      <c r="C3">
        <v>1</v>
      </c>
      <c r="D3" t="s">
        <v>6980</v>
      </c>
      <c r="E3" s="47" t="s">
        <v>6766</v>
      </c>
      <c r="F3" s="47" t="s">
        <v>6982</v>
      </c>
      <c r="G3" s="4" t="s">
        <v>6307</v>
      </c>
      <c r="H3" s="4" t="s">
        <v>6308</v>
      </c>
      <c r="I3" s="4" t="s">
        <v>6981</v>
      </c>
      <c r="J3" s="6" t="s">
        <v>6985</v>
      </c>
      <c r="K3" s="4"/>
      <c r="L3" s="4"/>
      <c r="M3" s="4"/>
      <c r="N3" s="4"/>
    </row>
    <row r="4" spans="1:14" x14ac:dyDescent="0.55000000000000004">
      <c r="A4" t="s">
        <v>1429</v>
      </c>
      <c r="B4" s="47" t="s">
        <v>1420</v>
      </c>
      <c r="C4">
        <v>2</v>
      </c>
      <c r="D4" t="s">
        <v>6979</v>
      </c>
      <c r="E4" s="47" t="s">
        <v>6766</v>
      </c>
      <c r="F4" s="47" t="s">
        <v>6982</v>
      </c>
      <c r="G4" s="4" t="s">
        <v>6307</v>
      </c>
      <c r="H4" s="4" t="s">
        <v>6308</v>
      </c>
      <c r="I4" s="4" t="s">
        <v>6310</v>
      </c>
      <c r="J4" s="6" t="s">
        <v>6311</v>
      </c>
      <c r="K4" s="4"/>
      <c r="L4" s="4"/>
      <c r="M4" s="4"/>
      <c r="N4" s="4"/>
    </row>
    <row r="5" spans="1:14" x14ac:dyDescent="0.55000000000000004">
      <c r="A5" t="s">
        <v>1432</v>
      </c>
      <c r="B5" s="47" t="s">
        <v>1420</v>
      </c>
      <c r="C5">
        <v>3</v>
      </c>
      <c r="D5" t="s">
        <v>6978</v>
      </c>
      <c r="E5" s="47" t="s">
        <v>6766</v>
      </c>
      <c r="F5" s="47" t="s">
        <v>6982</v>
      </c>
      <c r="G5" s="4" t="s">
        <v>6307</v>
      </c>
      <c r="H5" s="4" t="s">
        <v>6308</v>
      </c>
      <c r="I5" s="4" t="s">
        <v>6310</v>
      </c>
      <c r="J5" s="6" t="s">
        <v>6311</v>
      </c>
      <c r="K5" s="4"/>
      <c r="L5" s="4"/>
      <c r="M5" s="4"/>
      <c r="N5" s="4"/>
    </row>
    <row r="6" spans="1:14" x14ac:dyDescent="0.55000000000000004">
      <c r="A6" t="s">
        <v>1435</v>
      </c>
      <c r="B6" s="47" t="s">
        <v>1420</v>
      </c>
      <c r="C6">
        <v>4</v>
      </c>
      <c r="D6" t="s">
        <v>6977</v>
      </c>
      <c r="E6" s="47" t="s">
        <v>6766</v>
      </c>
      <c r="F6" s="47" t="s">
        <v>6982</v>
      </c>
      <c r="G6" s="4" t="s">
        <v>6307</v>
      </c>
      <c r="H6" s="4" t="s">
        <v>6308</v>
      </c>
      <c r="I6" s="4" t="s">
        <v>6310</v>
      </c>
      <c r="J6" s="6" t="s">
        <v>6311</v>
      </c>
      <c r="K6" s="4"/>
      <c r="L6" s="4"/>
      <c r="M6" s="4"/>
      <c r="N6" s="4"/>
    </row>
    <row r="7" spans="1:14" x14ac:dyDescent="0.55000000000000004">
      <c r="A7" t="s">
        <v>1438</v>
      </c>
      <c r="B7" s="47" t="s">
        <v>1420</v>
      </c>
      <c r="C7">
        <v>5</v>
      </c>
      <c r="D7" t="s">
        <v>6976</v>
      </c>
      <c r="E7" s="47" t="s">
        <v>6766</v>
      </c>
      <c r="F7" s="47" t="s">
        <v>6982</v>
      </c>
      <c r="G7" s="4" t="s">
        <v>6307</v>
      </c>
      <c r="H7" s="4" t="s">
        <v>6308</v>
      </c>
      <c r="I7" s="4" t="s">
        <v>6310</v>
      </c>
      <c r="J7" s="6" t="s">
        <v>6311</v>
      </c>
      <c r="K7" s="4"/>
      <c r="L7" s="4"/>
      <c r="M7" s="4"/>
      <c r="N7" s="4"/>
    </row>
    <row r="8" spans="1:14" x14ac:dyDescent="0.55000000000000004">
      <c r="A8" t="s">
        <v>1441</v>
      </c>
      <c r="B8" s="47" t="s">
        <v>1420</v>
      </c>
      <c r="C8">
        <v>6</v>
      </c>
      <c r="D8" t="s">
        <v>6984</v>
      </c>
      <c r="E8" s="47" t="s">
        <v>6766</v>
      </c>
      <c r="F8" s="47" t="s">
        <v>6982</v>
      </c>
      <c r="G8" s="4" t="s">
        <v>6307</v>
      </c>
      <c r="H8" s="4" t="s">
        <v>6308</v>
      </c>
      <c r="I8" s="4" t="s">
        <v>6310</v>
      </c>
      <c r="J8" s="6" t="s">
        <v>6311</v>
      </c>
      <c r="K8" s="4"/>
      <c r="L8" s="4"/>
      <c r="M8" s="4"/>
      <c r="N8" s="4"/>
    </row>
    <row r="9" spans="1:14" x14ac:dyDescent="0.55000000000000004">
      <c r="A9" t="s">
        <v>1444</v>
      </c>
      <c r="B9" s="47" t="s">
        <v>1420</v>
      </c>
      <c r="C9">
        <v>7</v>
      </c>
      <c r="D9" t="s">
        <v>6975</v>
      </c>
      <c r="G9" s="4"/>
      <c r="H9" s="4"/>
      <c r="I9" s="4"/>
      <c r="J9" s="6"/>
      <c r="K9" s="4"/>
      <c r="L9" s="4"/>
      <c r="M9" s="4"/>
      <c r="N9" s="4"/>
    </row>
    <row r="10" spans="1:14" x14ac:dyDescent="0.55000000000000004">
      <c r="A10" t="s">
        <v>1447</v>
      </c>
      <c r="B10" s="47" t="s">
        <v>1420</v>
      </c>
      <c r="C10">
        <v>8</v>
      </c>
      <c r="D10" t="s">
        <v>6973</v>
      </c>
      <c r="G10" s="4"/>
      <c r="H10" s="4"/>
      <c r="I10" s="4"/>
      <c r="J10" s="6"/>
      <c r="K10" s="4"/>
      <c r="L10" s="4"/>
      <c r="M10" s="4"/>
      <c r="N10" s="4"/>
    </row>
    <row r="11" spans="1:14" x14ac:dyDescent="0.55000000000000004">
      <c r="A11" t="s">
        <v>1450</v>
      </c>
      <c r="B11" s="47" t="s">
        <v>1420</v>
      </c>
      <c r="C11">
        <v>9</v>
      </c>
      <c r="D11" t="s">
        <v>6974</v>
      </c>
      <c r="G11" s="4"/>
      <c r="H11" s="4"/>
      <c r="I11" s="4"/>
      <c r="J11" s="6"/>
      <c r="K11" s="4"/>
      <c r="L11" s="4"/>
      <c r="M11" s="4"/>
      <c r="N11" s="4"/>
    </row>
    <row r="12" spans="1:14" x14ac:dyDescent="0.55000000000000004">
      <c r="A12" t="s">
        <v>1453</v>
      </c>
      <c r="B12" s="47" t="s">
        <v>1420</v>
      </c>
      <c r="C12">
        <v>10</v>
      </c>
      <c r="D12" t="s">
        <v>6972</v>
      </c>
      <c r="G12" s="4" t="s">
        <v>6307</v>
      </c>
      <c r="H12" s="4"/>
      <c r="I12" s="4">
        <v>2</v>
      </c>
      <c r="J12" s="6" t="s">
        <v>6987</v>
      </c>
      <c r="K12" s="4"/>
      <c r="L12" s="4"/>
      <c r="M12" s="4"/>
      <c r="N12" s="4"/>
    </row>
    <row r="13" spans="1:14" x14ac:dyDescent="0.55000000000000004">
      <c r="A13" t="s">
        <v>1456</v>
      </c>
      <c r="B13" s="47" t="s">
        <v>1420</v>
      </c>
      <c r="C13">
        <v>11</v>
      </c>
      <c r="D13" t="s">
        <v>1457</v>
      </c>
      <c r="G13" s="4"/>
      <c r="H13" s="4"/>
      <c r="I13" s="4"/>
      <c r="J13" s="6"/>
      <c r="K13" s="4"/>
      <c r="L13" s="4"/>
      <c r="M13" s="4"/>
      <c r="N13" s="4"/>
    </row>
    <row r="14" spans="1:14" x14ac:dyDescent="0.55000000000000004">
      <c r="A14" t="s">
        <v>1459</v>
      </c>
      <c r="B14" s="47" t="s">
        <v>1420</v>
      </c>
      <c r="C14">
        <v>12</v>
      </c>
      <c r="D14" t="s">
        <v>1460</v>
      </c>
      <c r="G14" s="4"/>
      <c r="H14" s="4"/>
      <c r="I14" s="4"/>
      <c r="J14" s="6"/>
      <c r="K14" s="4"/>
      <c r="L14" s="4"/>
      <c r="M14" s="4"/>
      <c r="N14" s="4"/>
    </row>
    <row r="15" spans="1:14" x14ac:dyDescent="0.55000000000000004">
      <c r="A15" t="s">
        <v>1462</v>
      </c>
      <c r="B15" s="47" t="s">
        <v>1420</v>
      </c>
      <c r="C15">
        <v>13</v>
      </c>
      <c r="D15" t="s">
        <v>6971</v>
      </c>
      <c r="G15" s="4" t="s">
        <v>6307</v>
      </c>
      <c r="H15" s="4"/>
      <c r="I15" s="4">
        <v>1</v>
      </c>
      <c r="J15" s="6" t="s">
        <v>6986</v>
      </c>
      <c r="K15" s="4"/>
      <c r="L15" s="4"/>
      <c r="M15" s="4"/>
      <c r="N15" s="4"/>
    </row>
    <row r="16" spans="1:14" x14ac:dyDescent="0.55000000000000004">
      <c r="A16" t="s">
        <v>1465</v>
      </c>
      <c r="B16" s="47" t="s">
        <v>1420</v>
      </c>
      <c r="C16">
        <v>14</v>
      </c>
      <c r="D16" t="s">
        <v>1466</v>
      </c>
      <c r="G16" s="4"/>
      <c r="H16" s="4"/>
      <c r="I16" s="4"/>
      <c r="J16" s="6"/>
      <c r="K16" s="4"/>
      <c r="L16" s="4"/>
      <c r="M16" s="4"/>
      <c r="N16" s="4"/>
    </row>
    <row r="17" spans="1:14" x14ac:dyDescent="0.55000000000000004">
      <c r="A17" t="s">
        <v>1468</v>
      </c>
      <c r="B17" s="47" t="s">
        <v>1420</v>
      </c>
      <c r="C17">
        <v>15</v>
      </c>
      <c r="D17" t="s">
        <v>1469</v>
      </c>
      <c r="G17" s="4"/>
      <c r="H17" s="4"/>
      <c r="I17" s="4"/>
      <c r="J17" s="6"/>
      <c r="K17" s="4"/>
      <c r="L17" s="4"/>
      <c r="M17" s="4"/>
      <c r="N17" s="4"/>
    </row>
    <row r="18" spans="1:14" x14ac:dyDescent="0.55000000000000004">
      <c r="A18" t="s">
        <v>6968</v>
      </c>
      <c r="B18" s="47" t="s">
        <v>1420</v>
      </c>
      <c r="C18">
        <v>16</v>
      </c>
      <c r="D18" t="s">
        <v>6970</v>
      </c>
      <c r="G18" s="4"/>
      <c r="H18" s="4"/>
      <c r="I18" s="4"/>
      <c r="J18" s="6"/>
      <c r="K18" s="4"/>
      <c r="L18" s="4"/>
      <c r="M18" s="4"/>
      <c r="N18" s="4"/>
    </row>
    <row r="19" spans="1:14" x14ac:dyDescent="0.55000000000000004">
      <c r="A19" t="s">
        <v>1474</v>
      </c>
      <c r="B19" s="47" t="s">
        <v>1420</v>
      </c>
      <c r="C19">
        <v>17</v>
      </c>
      <c r="D19" t="s">
        <v>6969</v>
      </c>
      <c r="G19" s="4"/>
      <c r="H19" s="4"/>
      <c r="I19" s="4"/>
      <c r="J19" s="6"/>
      <c r="K19" s="4"/>
      <c r="L19" s="4"/>
      <c r="M19" s="4"/>
      <c r="N19" s="4"/>
    </row>
    <row r="20" spans="1:14" x14ac:dyDescent="0.55000000000000004">
      <c r="A20" t="s">
        <v>1477</v>
      </c>
      <c r="B20" s="47" t="s">
        <v>1420</v>
      </c>
      <c r="C20">
        <v>18</v>
      </c>
      <c r="D20" t="s">
        <v>1478</v>
      </c>
      <c r="G20" s="4"/>
      <c r="H20" s="4"/>
      <c r="I20" s="4"/>
      <c r="J20" s="6"/>
      <c r="K20" s="4"/>
      <c r="L20" s="4"/>
      <c r="M20" s="4"/>
      <c r="N20" s="4"/>
    </row>
    <row r="21" spans="1:14" x14ac:dyDescent="0.55000000000000004">
      <c r="A21" t="s">
        <v>135</v>
      </c>
      <c r="B21" s="47" t="s">
        <v>1420</v>
      </c>
      <c r="C21">
        <v>999</v>
      </c>
      <c r="G21" s="4"/>
      <c r="H21" s="4"/>
      <c r="I21" s="4"/>
      <c r="J21" s="6"/>
      <c r="K21" s="4"/>
      <c r="L21" s="4"/>
      <c r="M21" s="4"/>
      <c r="N21" s="4"/>
    </row>
    <row r="22" spans="1:14" x14ac:dyDescent="0.55000000000000004">
      <c r="G22" s="4"/>
      <c r="H22" s="4"/>
      <c r="I22" s="4"/>
      <c r="J22" s="6"/>
      <c r="K22" s="4"/>
      <c r="L22" s="4"/>
      <c r="M22" s="4"/>
      <c r="N22" s="4"/>
    </row>
    <row r="23" spans="1:14" x14ac:dyDescent="0.55000000000000004">
      <c r="A23" t="s">
        <v>6964</v>
      </c>
      <c r="G23" s="4"/>
      <c r="H23" s="4"/>
      <c r="I23" s="4"/>
      <c r="J23" s="6"/>
      <c r="K23" s="4"/>
      <c r="L23" s="4"/>
      <c r="M23" s="4"/>
      <c r="N23" s="4"/>
    </row>
    <row r="24" spans="1:14" x14ac:dyDescent="0.55000000000000004">
      <c r="B24" t="s">
        <v>6312</v>
      </c>
      <c r="G24" s="4"/>
      <c r="H24" s="4"/>
      <c r="I24" s="4"/>
      <c r="J24" s="6"/>
      <c r="K24" s="4"/>
      <c r="L24" s="4"/>
      <c r="M24" s="4"/>
      <c r="N24" s="4"/>
    </row>
    <row r="25" spans="1:14" x14ac:dyDescent="0.55000000000000004">
      <c r="B25" t="s">
        <v>6313</v>
      </c>
      <c r="G25" s="4"/>
      <c r="H25" s="4"/>
      <c r="I25" s="4"/>
      <c r="J25" s="4"/>
      <c r="K25" s="4"/>
      <c r="L25" s="4"/>
      <c r="M25" s="4"/>
      <c r="N25" s="4"/>
    </row>
    <row r="26" spans="1:14" x14ac:dyDescent="0.55000000000000004">
      <c r="B26" t="s">
        <v>6314</v>
      </c>
      <c r="G26" s="4"/>
      <c r="H26" s="4"/>
      <c r="I26" s="4"/>
      <c r="J26" s="4"/>
      <c r="K26" s="4"/>
      <c r="L26" s="4"/>
      <c r="M26" s="4"/>
      <c r="N26" s="4"/>
    </row>
    <row r="27" spans="1:14" x14ac:dyDescent="0.55000000000000004">
      <c r="B27" t="s">
        <v>0</v>
      </c>
      <c r="G27" s="4"/>
      <c r="H27" s="4"/>
      <c r="I27" s="4"/>
      <c r="J27" s="4"/>
      <c r="K27" s="4"/>
      <c r="L27" s="4"/>
      <c r="M27" s="4"/>
      <c r="N27" s="4"/>
    </row>
    <row r="28" spans="1:14" x14ac:dyDescent="0.55000000000000004">
      <c r="B28" t="s">
        <v>4</v>
      </c>
      <c r="G28" s="4"/>
      <c r="H28" s="4"/>
      <c r="I28" s="4"/>
      <c r="J28" s="4"/>
      <c r="K28" s="4"/>
      <c r="L28" s="4"/>
      <c r="M28" s="4"/>
      <c r="N28" s="4"/>
    </row>
    <row r="29" spans="1:14" x14ac:dyDescent="0.55000000000000004">
      <c r="B29" t="s">
        <v>6315</v>
      </c>
      <c r="G29" s="4"/>
      <c r="H29" s="4"/>
      <c r="I29" s="4"/>
      <c r="J29" s="4"/>
      <c r="K29" s="4"/>
      <c r="L29" s="4"/>
      <c r="M29" s="4"/>
      <c r="N29" s="4"/>
    </row>
    <row r="30" spans="1:14" x14ac:dyDescent="0.55000000000000004">
      <c r="B30" t="s">
        <v>6316</v>
      </c>
      <c r="G30" s="4"/>
      <c r="H30" s="4"/>
      <c r="I30" s="4"/>
      <c r="J30" s="4"/>
      <c r="K30" s="4"/>
      <c r="L30" s="4"/>
      <c r="M30" s="4"/>
      <c r="N30" s="4"/>
    </row>
    <row r="31" spans="1:14" x14ac:dyDescent="0.55000000000000004">
      <c r="B31" t="s">
        <v>6317</v>
      </c>
      <c r="G31" s="4"/>
      <c r="H31" s="4"/>
      <c r="I31" s="4"/>
      <c r="J31" s="4"/>
      <c r="K31" s="4"/>
      <c r="L31" s="4"/>
      <c r="M31" s="4"/>
      <c r="N31" s="4"/>
    </row>
    <row r="32" spans="1:14" x14ac:dyDescent="0.55000000000000004">
      <c r="A32" t="s">
        <v>6965</v>
      </c>
      <c r="G32" s="4"/>
      <c r="H32" s="4"/>
      <c r="I32" s="4"/>
      <c r="J32" s="4"/>
      <c r="K32" s="4"/>
      <c r="L32" s="4"/>
      <c r="M32" s="4"/>
      <c r="N32" s="4"/>
    </row>
    <row r="33" spans="1:14" x14ac:dyDescent="0.55000000000000004">
      <c r="B33" t="s">
        <v>6321</v>
      </c>
      <c r="G33" s="4"/>
      <c r="H33" s="4"/>
      <c r="I33" s="4"/>
      <c r="J33" s="4"/>
      <c r="K33" s="4"/>
      <c r="L33" s="4"/>
      <c r="M33" s="4"/>
      <c r="N33" s="4"/>
    </row>
    <row r="34" spans="1:14" x14ac:dyDescent="0.55000000000000004">
      <c r="B34" t="s">
        <v>6322</v>
      </c>
      <c r="G34" s="4"/>
      <c r="H34" s="4"/>
      <c r="I34" s="4"/>
      <c r="J34" s="4"/>
      <c r="K34" s="4"/>
      <c r="L34" s="4"/>
      <c r="M34" s="4"/>
      <c r="N34" s="4"/>
    </row>
    <row r="35" spans="1:14" x14ac:dyDescent="0.55000000000000004">
      <c r="B35" t="s">
        <v>6323</v>
      </c>
      <c r="G35" s="4"/>
      <c r="H35" s="4"/>
      <c r="I35" s="4"/>
      <c r="J35" s="4"/>
      <c r="K35" s="4"/>
      <c r="L35" s="4"/>
      <c r="M35" s="4"/>
      <c r="N35" s="4"/>
    </row>
    <row r="36" spans="1:14" x14ac:dyDescent="0.55000000000000004">
      <c r="B36" t="s">
        <v>6324</v>
      </c>
      <c r="G36" s="4"/>
      <c r="H36" s="4"/>
      <c r="I36" s="4"/>
      <c r="J36" s="4"/>
      <c r="K36" s="4"/>
      <c r="L36" s="4"/>
      <c r="M36" s="4"/>
      <c r="N36" s="4"/>
    </row>
    <row r="37" spans="1:14" x14ac:dyDescent="0.55000000000000004">
      <c r="B37" t="s">
        <v>6325</v>
      </c>
      <c r="G37" s="4"/>
      <c r="H37" s="4"/>
      <c r="I37" s="4"/>
      <c r="J37" s="4"/>
      <c r="K37" s="4"/>
      <c r="L37" s="4"/>
      <c r="M37" s="4"/>
      <c r="N37" s="4"/>
    </row>
    <row r="38" spans="1:14" x14ac:dyDescent="0.55000000000000004">
      <c r="B38" t="s">
        <v>6326</v>
      </c>
      <c r="G38" s="4"/>
      <c r="H38" s="4"/>
      <c r="I38" s="4"/>
      <c r="J38" s="4"/>
      <c r="K38" s="4"/>
      <c r="L38" s="4"/>
      <c r="M38" s="4"/>
      <c r="N38" s="4"/>
    </row>
    <row r="39" spans="1:14" x14ac:dyDescent="0.55000000000000004">
      <c r="B39" t="s">
        <v>6327</v>
      </c>
      <c r="G39" s="4"/>
      <c r="H39" s="4"/>
      <c r="I39" s="4"/>
      <c r="J39" s="4"/>
      <c r="K39" s="4"/>
      <c r="L39" s="4"/>
      <c r="M39" s="4"/>
      <c r="N39" s="4"/>
    </row>
    <row r="40" spans="1:14" x14ac:dyDescent="0.55000000000000004">
      <c r="B40" t="s">
        <v>6328</v>
      </c>
      <c r="G40" s="4"/>
      <c r="H40" s="4"/>
      <c r="K40" s="4"/>
      <c r="L40" s="4"/>
      <c r="M40" s="4"/>
      <c r="N40" s="4"/>
    </row>
    <row r="41" spans="1:14" x14ac:dyDescent="0.55000000000000004">
      <c r="A41" t="s">
        <v>6967</v>
      </c>
      <c r="G41" s="4"/>
      <c r="H41" s="4"/>
      <c r="K41" s="4"/>
      <c r="L41" s="4"/>
      <c r="M41" s="4"/>
      <c r="N41" s="4"/>
    </row>
    <row r="42" spans="1:14" x14ac:dyDescent="0.55000000000000004">
      <c r="B42" t="s">
        <v>6330</v>
      </c>
      <c r="G42" s="4"/>
      <c r="H42" s="4"/>
      <c r="K42" s="4"/>
      <c r="L42" s="4"/>
      <c r="M42" s="4"/>
      <c r="N42" s="4"/>
    </row>
    <row r="43" spans="1:14" x14ac:dyDescent="0.55000000000000004">
      <c r="B43" t="s">
        <v>6331</v>
      </c>
    </row>
    <row r="44" spans="1:14" x14ac:dyDescent="0.55000000000000004">
      <c r="B44" t="s">
        <v>6332</v>
      </c>
    </row>
    <row r="45" spans="1:14" x14ac:dyDescent="0.55000000000000004">
      <c r="B45" t="s">
        <v>6333</v>
      </c>
    </row>
    <row r="46" spans="1:14" x14ac:dyDescent="0.55000000000000004">
      <c r="B46" t="s">
        <v>6334</v>
      </c>
    </row>
    <row r="47" spans="1:14" x14ac:dyDescent="0.55000000000000004">
      <c r="B47" t="s">
        <v>6335</v>
      </c>
    </row>
    <row r="48" spans="1:14" x14ac:dyDescent="0.55000000000000004">
      <c r="B48" t="s">
        <v>6336</v>
      </c>
    </row>
    <row r="49" spans="1:2" x14ac:dyDescent="0.55000000000000004">
      <c r="B49" t="s">
        <v>6337</v>
      </c>
    </row>
    <row r="50" spans="1:2" x14ac:dyDescent="0.55000000000000004">
      <c r="B50" t="s">
        <v>6338</v>
      </c>
    </row>
    <row r="51" spans="1:2" x14ac:dyDescent="0.55000000000000004">
      <c r="B51" t="s">
        <v>6339</v>
      </c>
    </row>
    <row r="52" spans="1:2" x14ac:dyDescent="0.55000000000000004">
      <c r="B52" t="s">
        <v>6340</v>
      </c>
    </row>
    <row r="53" spans="1:2" x14ac:dyDescent="0.55000000000000004">
      <c r="A53" t="s">
        <v>6966</v>
      </c>
    </row>
    <row r="54" spans="1:2" x14ac:dyDescent="0.55000000000000004">
      <c r="B54" t="s">
        <v>6342</v>
      </c>
    </row>
    <row r="55" spans="1:2" x14ac:dyDescent="0.55000000000000004">
      <c r="B55" t="s">
        <v>6343</v>
      </c>
    </row>
    <row r="56" spans="1:2" x14ac:dyDescent="0.55000000000000004">
      <c r="B56" t="s">
        <v>6344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9B9A5-8C64-4F7A-93EA-812905038B86}">
  <dimension ref="A1:T26"/>
  <sheetViews>
    <sheetView workbookViewId="0"/>
  </sheetViews>
  <sheetFormatPr defaultRowHeight="14.4" x14ac:dyDescent="0.55000000000000004"/>
  <cols>
    <col min="1" max="1" width="12.83984375" bestFit="1" customWidth="1"/>
    <col min="2" max="2" width="4.7890625" bestFit="1" customWidth="1"/>
    <col min="3" max="3" width="3.68359375" bestFit="1" customWidth="1"/>
    <col min="4" max="4" width="6.62890625" customWidth="1"/>
    <col min="5" max="5" width="14.20703125" bestFit="1" customWidth="1"/>
    <col min="6" max="7" width="14.20703125" customWidth="1"/>
    <col min="8" max="8" width="18.26171875" bestFit="1" customWidth="1"/>
    <col min="9" max="9" width="2.68359375" bestFit="1" customWidth="1"/>
    <col min="10" max="10" width="18.26171875" customWidth="1"/>
    <col min="11" max="11" width="14.05078125" bestFit="1" customWidth="1"/>
    <col min="12" max="12" width="16.9453125" customWidth="1"/>
    <col min="13" max="13" width="2.68359375" bestFit="1" customWidth="1"/>
    <col min="14" max="14" width="6.7890625" bestFit="1" customWidth="1"/>
    <col min="15" max="15" width="7.89453125" bestFit="1" customWidth="1"/>
    <col min="16" max="16" width="27.3671875" bestFit="1" customWidth="1"/>
    <col min="17" max="17" width="20.41796875" bestFit="1" customWidth="1"/>
  </cols>
  <sheetData>
    <row r="1" spans="1:20" x14ac:dyDescent="0.55000000000000004">
      <c r="A1" t="s">
        <v>6891</v>
      </c>
      <c r="B1" t="s">
        <v>8191</v>
      </c>
      <c r="E1" s="48" t="s">
        <v>6346</v>
      </c>
      <c r="F1" s="48" t="s">
        <v>6347</v>
      </c>
      <c r="G1" s="48"/>
      <c r="H1" s="50" t="s">
        <v>6490</v>
      </c>
      <c r="I1" s="50"/>
      <c r="J1" s="50"/>
      <c r="K1" s="52" t="s">
        <v>6530</v>
      </c>
      <c r="L1" s="55" t="s">
        <v>6566</v>
      </c>
      <c r="M1" s="55"/>
      <c r="N1" s="55"/>
    </row>
    <row r="2" spans="1:20" x14ac:dyDescent="0.55000000000000004">
      <c r="A2" t="s">
        <v>6346</v>
      </c>
      <c r="E2" s="49" t="str">
        <f>HYPERLINK("[#]Feature_Schema_1!A3:F3","ADMINISTRATIVE_BOUNDARY_C")</f>
        <v>ADMINISTRATIVE_BOUNDARY_C</v>
      </c>
      <c r="F2" s="49" t="str">
        <f>HYPERLINK("[#]Feature_Schema_1!A140:F140","ADMINISTRATIVE_SUBDIVISION_S")</f>
        <v>ADMINISTRATIVE_SUBDIVISION_S</v>
      </c>
      <c r="G2" s="49"/>
      <c r="H2" s="51" t="str">
        <f>HYPERLINK("[#]Feature_Schema_1!A35111:F35111","GEOPOLITICAL_ENTITY_S")</f>
        <v>GEOPOLITICAL_ENTITY_S</v>
      </c>
      <c r="I2" s="51"/>
      <c r="J2" s="51"/>
      <c r="K2" s="53" t="str">
        <f>HYPERLINK("[#]Feature_Schema_1!A42008:F42008","INTERNATIONAL_DATE_LINE_C")</f>
        <v>INTERNATIONAL_DATE_LINE_C</v>
      </c>
      <c r="L2" s="56" t="str">
        <f>HYPERLINK("[#]Feature_Schema_1!A47398:F47398","MILITARY_INSTALLATION_P")</f>
        <v>MILITARY_INSTALLATION_P</v>
      </c>
      <c r="M2" s="55"/>
      <c r="N2" s="55"/>
    </row>
    <row r="3" spans="1:20" x14ac:dyDescent="0.55000000000000004">
      <c r="A3" t="s">
        <v>6347</v>
      </c>
      <c r="E3" s="48" t="s">
        <v>6742</v>
      </c>
      <c r="F3" s="48" t="s">
        <v>6743</v>
      </c>
      <c r="G3" s="48"/>
      <c r="H3" s="50" t="s">
        <v>6743</v>
      </c>
      <c r="I3" s="50"/>
      <c r="J3" s="50"/>
      <c r="K3" s="52" t="s">
        <v>6742</v>
      </c>
      <c r="L3" s="55" t="s">
        <v>6790</v>
      </c>
      <c r="M3" s="55"/>
      <c r="N3" s="55"/>
    </row>
    <row r="4" spans="1:20" x14ac:dyDescent="0.55000000000000004">
      <c r="A4" s="26" t="s">
        <v>1</v>
      </c>
      <c r="B4" s="27" t="s">
        <v>0</v>
      </c>
      <c r="C4" s="27" t="s">
        <v>4</v>
      </c>
      <c r="D4" s="27" t="s">
        <v>2</v>
      </c>
      <c r="E4" s="28" t="s">
        <v>6303</v>
      </c>
      <c r="F4" s="28" t="s">
        <v>6309</v>
      </c>
      <c r="G4" s="28"/>
      <c r="H4" s="28" t="s">
        <v>6303</v>
      </c>
      <c r="I4" s="28" t="s">
        <v>6309</v>
      </c>
      <c r="J4" s="28"/>
      <c r="K4" s="13"/>
      <c r="L4" s="28" t="s">
        <v>6303</v>
      </c>
      <c r="M4" s="28" t="s">
        <v>6309</v>
      </c>
      <c r="N4" s="28"/>
      <c r="O4" s="28"/>
      <c r="P4" s="54"/>
      <c r="Q4" s="28"/>
      <c r="R4" s="13"/>
      <c r="S4" s="13"/>
      <c r="T4" s="13"/>
    </row>
    <row r="5" spans="1:20" x14ac:dyDescent="0.55000000000000004">
      <c r="A5" t="s">
        <v>8173</v>
      </c>
      <c r="C5">
        <v>0</v>
      </c>
      <c r="E5" s="48" t="s">
        <v>8192</v>
      </c>
      <c r="F5" s="48">
        <v>-999999</v>
      </c>
      <c r="G5" s="48" t="s">
        <v>7974</v>
      </c>
      <c r="H5" s="50"/>
      <c r="I5" s="50"/>
      <c r="J5" s="50"/>
      <c r="K5" s="52"/>
      <c r="L5" s="55"/>
      <c r="M5" s="55"/>
      <c r="N5" s="55"/>
    </row>
    <row r="6" spans="1:20" x14ac:dyDescent="0.55000000000000004">
      <c r="A6" t="s">
        <v>8174</v>
      </c>
      <c r="C6">
        <v>1</v>
      </c>
      <c r="E6" s="48"/>
      <c r="F6" s="48"/>
      <c r="G6" s="48"/>
      <c r="H6" s="50"/>
      <c r="I6" s="50"/>
      <c r="J6" s="50"/>
      <c r="K6" s="52"/>
      <c r="L6" s="55"/>
      <c r="M6" s="55"/>
      <c r="N6" s="55"/>
    </row>
    <row r="7" spans="1:20" x14ac:dyDescent="0.55000000000000004">
      <c r="A7" t="s">
        <v>8175</v>
      </c>
      <c r="C7">
        <v>2</v>
      </c>
      <c r="E7" s="48" t="s">
        <v>8207</v>
      </c>
      <c r="F7" s="48">
        <v>1</v>
      </c>
      <c r="G7" s="48" t="s">
        <v>8205</v>
      </c>
      <c r="H7" s="50"/>
      <c r="I7" s="50"/>
      <c r="J7" s="50"/>
      <c r="K7" s="52"/>
      <c r="L7" s="55"/>
      <c r="M7" s="55"/>
      <c r="N7" s="55"/>
    </row>
    <row r="8" spans="1:20" x14ac:dyDescent="0.55000000000000004">
      <c r="A8" t="s">
        <v>8176</v>
      </c>
      <c r="C8">
        <v>3</v>
      </c>
      <c r="E8" s="48" t="s">
        <v>8192</v>
      </c>
      <c r="F8" s="48">
        <v>1</v>
      </c>
      <c r="G8" s="48" t="s">
        <v>8196</v>
      </c>
      <c r="H8" s="50"/>
      <c r="I8" s="50"/>
      <c r="J8" s="50"/>
      <c r="K8" s="52"/>
      <c r="L8" s="55"/>
      <c r="M8" s="55"/>
      <c r="N8" s="55"/>
    </row>
    <row r="9" spans="1:20" x14ac:dyDescent="0.55000000000000004">
      <c r="A9" t="s">
        <v>8177</v>
      </c>
      <c r="C9">
        <v>4</v>
      </c>
      <c r="E9" s="48" t="s">
        <v>8192</v>
      </c>
      <c r="F9" s="48">
        <v>2</v>
      </c>
      <c r="G9" s="48" t="s">
        <v>8197</v>
      </c>
      <c r="H9" s="50"/>
      <c r="I9" s="50"/>
      <c r="J9" s="50"/>
      <c r="K9" s="52"/>
      <c r="L9" s="55"/>
      <c r="M9" s="55"/>
      <c r="N9" s="55"/>
    </row>
    <row r="10" spans="1:20" x14ac:dyDescent="0.55000000000000004">
      <c r="A10" t="s">
        <v>8178</v>
      </c>
      <c r="C10">
        <v>5</v>
      </c>
      <c r="E10" s="48"/>
      <c r="F10" s="48"/>
      <c r="G10" s="48"/>
      <c r="H10" s="50" t="s">
        <v>8208</v>
      </c>
      <c r="I10" s="50" t="s">
        <v>8210</v>
      </c>
      <c r="J10" s="50"/>
      <c r="K10" s="52"/>
      <c r="L10" s="55"/>
      <c r="M10" s="55"/>
      <c r="N10" s="55"/>
    </row>
    <row r="11" spans="1:20" x14ac:dyDescent="0.55000000000000004">
      <c r="A11" t="s">
        <v>8179</v>
      </c>
      <c r="C11">
        <v>6</v>
      </c>
      <c r="E11" s="48"/>
      <c r="F11" s="48"/>
      <c r="G11" s="48"/>
      <c r="H11" s="50" t="s">
        <v>8208</v>
      </c>
      <c r="I11" s="50">
        <v>15</v>
      </c>
      <c r="J11" s="50" t="s">
        <v>8209</v>
      </c>
      <c r="K11" s="52"/>
      <c r="L11" s="55"/>
      <c r="M11" s="55"/>
      <c r="N11" s="55"/>
    </row>
    <row r="12" spans="1:20" x14ac:dyDescent="0.55000000000000004">
      <c r="E12" s="48" t="s">
        <v>8204</v>
      </c>
      <c r="F12" s="48">
        <v>8</v>
      </c>
      <c r="G12" s="48" t="s">
        <v>8206</v>
      </c>
      <c r="H12" s="50"/>
      <c r="I12" s="50"/>
      <c r="J12" s="50"/>
      <c r="K12" s="52"/>
      <c r="L12" s="55"/>
      <c r="M12" s="55"/>
      <c r="N12" s="55"/>
    </row>
    <row r="13" spans="1:20" x14ac:dyDescent="0.55000000000000004">
      <c r="A13" t="s">
        <v>8180</v>
      </c>
      <c r="C13">
        <v>7</v>
      </c>
      <c r="E13" s="48"/>
      <c r="F13" s="48"/>
      <c r="G13" s="48"/>
      <c r="H13" s="50"/>
      <c r="I13" s="50"/>
      <c r="J13" s="50"/>
      <c r="K13" s="52"/>
      <c r="L13" s="55"/>
      <c r="M13" s="55"/>
      <c r="N13" s="55"/>
    </row>
    <row r="14" spans="1:20" x14ac:dyDescent="0.55000000000000004">
      <c r="A14" t="s">
        <v>8181</v>
      </c>
      <c r="C14">
        <v>8</v>
      </c>
      <c r="E14" s="48" t="s">
        <v>8200</v>
      </c>
      <c r="F14" s="48">
        <v>17</v>
      </c>
      <c r="G14" s="48" t="s">
        <v>8203</v>
      </c>
      <c r="H14" s="50"/>
      <c r="I14" s="50"/>
      <c r="J14" s="50"/>
      <c r="K14" s="52"/>
      <c r="L14" s="55" t="s">
        <v>8200</v>
      </c>
      <c r="M14" s="55">
        <v>17</v>
      </c>
      <c r="N14" s="55" t="s">
        <v>8203</v>
      </c>
    </row>
    <row r="15" spans="1:20" x14ac:dyDescent="0.55000000000000004">
      <c r="A15" t="s">
        <v>8182</v>
      </c>
      <c r="C15">
        <v>9</v>
      </c>
      <c r="E15" s="48"/>
      <c r="F15" s="48"/>
      <c r="G15" s="48"/>
      <c r="H15" s="50"/>
      <c r="I15" s="50"/>
      <c r="J15" s="50"/>
      <c r="K15" s="52"/>
      <c r="L15" s="55"/>
      <c r="M15" s="55"/>
      <c r="N15" s="55"/>
    </row>
    <row r="16" spans="1:20" x14ac:dyDescent="0.55000000000000004">
      <c r="A16" t="s">
        <v>8183</v>
      </c>
      <c r="C16">
        <v>10</v>
      </c>
      <c r="E16" s="48" t="s">
        <v>8200</v>
      </c>
      <c r="F16" s="48">
        <v>3</v>
      </c>
      <c r="G16" s="48" t="s">
        <v>8202</v>
      </c>
      <c r="H16" s="50"/>
      <c r="I16" s="50"/>
      <c r="J16" s="50"/>
      <c r="K16" s="52"/>
      <c r="L16" s="55" t="s">
        <v>8200</v>
      </c>
      <c r="M16" s="55">
        <v>3</v>
      </c>
      <c r="N16" s="55" t="s">
        <v>8202</v>
      </c>
    </row>
    <row r="17" spans="1:14" x14ac:dyDescent="0.55000000000000004">
      <c r="A17" t="s">
        <v>8184</v>
      </c>
      <c r="C17">
        <v>11</v>
      </c>
      <c r="E17" s="48" t="s">
        <v>8200</v>
      </c>
      <c r="F17" s="48">
        <v>5</v>
      </c>
      <c r="G17" s="48" t="s">
        <v>8201</v>
      </c>
      <c r="H17" s="50"/>
      <c r="I17" s="50"/>
      <c r="J17" s="50"/>
      <c r="K17" s="52"/>
      <c r="L17" s="55" t="s">
        <v>8200</v>
      </c>
      <c r="M17" s="55">
        <v>5</v>
      </c>
      <c r="N17" s="55" t="s">
        <v>8201</v>
      </c>
    </row>
    <row r="18" spans="1:14" x14ac:dyDescent="0.55000000000000004">
      <c r="A18" t="s">
        <v>8185</v>
      </c>
      <c r="C18">
        <v>12</v>
      </c>
      <c r="E18" s="48" t="s">
        <v>8193</v>
      </c>
      <c r="F18" s="48">
        <v>1</v>
      </c>
      <c r="G18" s="48" t="s">
        <v>8194</v>
      </c>
      <c r="H18" s="50"/>
      <c r="I18" s="50"/>
      <c r="J18" s="50"/>
      <c r="K18" s="52"/>
      <c r="L18" s="55"/>
      <c r="M18" s="55"/>
      <c r="N18" s="55"/>
    </row>
    <row r="19" spans="1:14" x14ac:dyDescent="0.55000000000000004">
      <c r="E19" s="48" t="s">
        <v>8195</v>
      </c>
      <c r="F19" s="48">
        <v>3</v>
      </c>
      <c r="G19" s="48" t="s">
        <v>8194</v>
      </c>
      <c r="H19" s="50"/>
      <c r="I19" s="50"/>
      <c r="J19" s="50"/>
      <c r="K19" s="52"/>
      <c r="L19" s="55"/>
      <c r="M19" s="55"/>
      <c r="N19" s="55"/>
    </row>
    <row r="20" spans="1:14" x14ac:dyDescent="0.55000000000000004">
      <c r="A20" t="s">
        <v>8186</v>
      </c>
      <c r="C20">
        <v>13</v>
      </c>
      <c r="E20" s="48" t="s">
        <v>8192</v>
      </c>
      <c r="F20" s="48">
        <v>3</v>
      </c>
      <c r="G20" s="48" t="s">
        <v>8198</v>
      </c>
      <c r="H20" s="50"/>
      <c r="I20" s="50"/>
      <c r="J20" s="50"/>
      <c r="K20" s="52"/>
      <c r="L20" s="55"/>
      <c r="M20" s="55"/>
      <c r="N20" s="55"/>
    </row>
    <row r="21" spans="1:14" x14ac:dyDescent="0.55000000000000004">
      <c r="A21" t="s">
        <v>5762</v>
      </c>
      <c r="C21">
        <v>14</v>
      </c>
      <c r="E21" s="48" t="s">
        <v>8192</v>
      </c>
      <c r="F21" s="48">
        <v>4</v>
      </c>
      <c r="G21" s="48" t="s">
        <v>8199</v>
      </c>
      <c r="H21" s="50"/>
      <c r="I21" s="50"/>
      <c r="J21" s="50"/>
      <c r="K21" s="52"/>
      <c r="L21" s="55"/>
      <c r="M21" s="55"/>
      <c r="N21" s="55"/>
    </row>
    <row r="22" spans="1:14" x14ac:dyDescent="0.55000000000000004">
      <c r="A22" t="s">
        <v>8187</v>
      </c>
      <c r="C22">
        <v>15</v>
      </c>
      <c r="E22" s="48"/>
      <c r="F22" s="48"/>
      <c r="G22" s="48"/>
      <c r="H22" s="50"/>
      <c r="I22" s="50"/>
      <c r="J22" s="50"/>
      <c r="K22" s="52"/>
      <c r="L22" s="55"/>
      <c r="M22" s="55"/>
      <c r="N22" s="55"/>
    </row>
    <row r="23" spans="1:14" x14ac:dyDescent="0.55000000000000004">
      <c r="A23" t="s">
        <v>8188</v>
      </c>
      <c r="C23">
        <v>16</v>
      </c>
      <c r="E23" s="48"/>
      <c r="F23" s="48"/>
      <c r="G23" s="48"/>
      <c r="H23" s="50"/>
      <c r="I23" s="50"/>
      <c r="J23" s="50"/>
      <c r="K23" s="52" t="s">
        <v>8211</v>
      </c>
      <c r="L23" s="55"/>
      <c r="M23" s="55"/>
      <c r="N23" s="55"/>
    </row>
    <row r="24" spans="1:14" x14ac:dyDescent="0.55000000000000004">
      <c r="A24" t="s">
        <v>8189</v>
      </c>
      <c r="C24">
        <v>997</v>
      </c>
      <c r="E24" s="48"/>
      <c r="F24" s="48"/>
      <c r="G24" s="48"/>
      <c r="H24" s="50"/>
      <c r="I24" s="50"/>
      <c r="J24" s="50"/>
      <c r="K24" s="52"/>
      <c r="L24" s="55"/>
      <c r="M24" s="55"/>
      <c r="N24" s="55"/>
    </row>
    <row r="25" spans="1:14" x14ac:dyDescent="0.55000000000000004">
      <c r="A25" t="s">
        <v>8190</v>
      </c>
      <c r="C25">
        <v>998</v>
      </c>
      <c r="E25" s="48"/>
      <c r="F25" s="48"/>
      <c r="G25" s="48"/>
      <c r="H25" s="50"/>
      <c r="I25" s="50"/>
      <c r="J25" s="50"/>
      <c r="K25" s="52"/>
      <c r="L25" s="55"/>
      <c r="M25" s="55"/>
      <c r="N25" s="55"/>
    </row>
    <row r="26" spans="1:14" x14ac:dyDescent="0.55000000000000004">
      <c r="A26" t="s">
        <v>135</v>
      </c>
      <c r="C26">
        <v>999</v>
      </c>
      <c r="E26" s="48" t="s">
        <v>8192</v>
      </c>
      <c r="F26" s="48">
        <v>999</v>
      </c>
      <c r="G26" s="48" t="s">
        <v>135</v>
      </c>
      <c r="H26" s="50"/>
      <c r="I26" s="50"/>
      <c r="J26" s="50"/>
      <c r="K26" s="52"/>
      <c r="L26" s="55"/>
      <c r="M26" s="55"/>
      <c r="N26" s="5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148AA-1ACD-4324-B0E3-1F52861CD557}">
  <dimension ref="A1:E8"/>
  <sheetViews>
    <sheetView workbookViewId="0">
      <selection activeCell="C1" sqref="C1"/>
    </sheetView>
  </sheetViews>
  <sheetFormatPr defaultRowHeight="14.4" x14ac:dyDescent="0.55000000000000004"/>
  <cols>
    <col min="1" max="1" width="12.83984375" bestFit="1" customWidth="1"/>
    <col min="3" max="3" width="9.5234375" bestFit="1" customWidth="1"/>
    <col min="4" max="4" width="14.3125" bestFit="1" customWidth="1"/>
  </cols>
  <sheetData>
    <row r="1" spans="1:5" x14ac:dyDescent="0.55000000000000004">
      <c r="A1" s="26" t="s">
        <v>1</v>
      </c>
      <c r="B1" s="27" t="s">
        <v>8213</v>
      </c>
      <c r="C1" s="27" t="s">
        <v>8230</v>
      </c>
      <c r="D1" s="27" t="s">
        <v>8229</v>
      </c>
      <c r="E1" s="15" t="s">
        <v>8214</v>
      </c>
    </row>
    <row r="2" spans="1:5" x14ac:dyDescent="0.55000000000000004">
      <c r="A2" t="s">
        <v>6927</v>
      </c>
      <c r="B2" t="s">
        <v>6898</v>
      </c>
      <c r="C2">
        <v>0</v>
      </c>
      <c r="D2">
        <v>0</v>
      </c>
    </row>
    <row r="3" spans="1:5" x14ac:dyDescent="0.55000000000000004">
      <c r="C3">
        <v>1</v>
      </c>
      <c r="D3" t="s">
        <v>8231</v>
      </c>
    </row>
    <row r="4" spans="1:5" x14ac:dyDescent="0.55000000000000004">
      <c r="C4">
        <v>2</v>
      </c>
      <c r="D4" t="s">
        <v>8232</v>
      </c>
    </row>
    <row r="5" spans="1:5" x14ac:dyDescent="0.55000000000000004">
      <c r="C5">
        <v>3</v>
      </c>
      <c r="D5" t="s">
        <v>8233</v>
      </c>
    </row>
    <row r="6" spans="1:5" x14ac:dyDescent="0.55000000000000004">
      <c r="C6">
        <v>4</v>
      </c>
      <c r="D6" t="s">
        <v>8234</v>
      </c>
    </row>
    <row r="7" spans="1:5" x14ac:dyDescent="0.55000000000000004">
      <c r="C7">
        <v>5</v>
      </c>
      <c r="D7" t="s">
        <v>8235</v>
      </c>
    </row>
    <row r="8" spans="1:5" x14ac:dyDescent="0.55000000000000004">
      <c r="C8">
        <v>6</v>
      </c>
      <c r="D8" t="s">
        <v>8236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GGDMEnumerations_CMIX trimmed</vt:lpstr>
      <vt:lpstr>FACC Mapped</vt:lpstr>
      <vt:lpstr>Work with Mapped</vt:lpstr>
      <vt:lpstr>TDS-GGDM-CDB from Holly</vt:lpstr>
      <vt:lpstr>CDB_GGDM Crosswalk</vt:lpstr>
      <vt:lpstr>Common</vt:lpstr>
      <vt:lpstr>Road</vt:lpstr>
      <vt:lpstr>BOTY</vt:lpstr>
      <vt:lpstr>AHA</vt:lpstr>
      <vt:lpstr>TRF Table</vt:lpstr>
      <vt:lpstr>Bridge Opening</vt:lpstr>
      <vt:lpstr>Bridge Structure</vt:lpstr>
      <vt:lpstr>Route Type Mappings for Road</vt:lpstr>
      <vt:lpstr>Direct Mappings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Michala Hill</dc:creator>
  <cp:lastModifiedBy>Michala Hill</cp:lastModifiedBy>
  <dcterms:created xsi:type="dcterms:W3CDTF">2019-11-17T00:42:24Z</dcterms:created>
  <dcterms:modified xsi:type="dcterms:W3CDTF">2020-07-13T20:14:42Z</dcterms:modified>
</cp:coreProperties>
</file>