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2dd2d07392e7e/Desktop/VCU/Spring'25/Decision and Risk Analytics/Group Project/"/>
    </mc:Choice>
  </mc:AlternateContent>
  <xr:revisionPtr revIDLastSave="2239" documentId="8_{60AFDCD5-8E6B-46FD-9E6C-D2E30D4895B8}" xr6:coauthVersionLast="47" xr6:coauthVersionMax="47" xr10:uidLastSave="{A7C65B1C-6C4A-4AE8-871F-1D72C8B956AE}"/>
  <bookViews>
    <workbookView xWindow="-110" yWindow="-110" windowWidth="19420" windowHeight="10300" xr2:uid="{7EC88485-8339-4342-9003-33D30B5D9334}"/>
  </bookViews>
  <sheets>
    <sheet name="Tree" sheetId="1" r:id="rId1"/>
    <sheet name="Data Sheet" sheetId="3" r:id="rId2"/>
    <sheet name="treeCalc_1" sheetId="2" state="hidden" r:id="rId3"/>
  </sheets>
  <definedNames>
    <definedName name="_xlnm._FilterDatabase" localSheetId="1" hidden="1">'Data Sheet'!$A$1:$R$1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75000</definedName>
    <definedName name="PTree_SensitivityAnalysis_Inputs_1_Minimum" hidden="1">1000</definedName>
    <definedName name="PTree_SensitivityAnalysis_Inputs_1_OneWayAnalysis" hidden="1">1</definedName>
    <definedName name="PTree_SensitivityAnalysis_Inputs_1_Steps" hidden="1">25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Tree!$D$72</definedName>
    <definedName name="PTree_SensitivityAnalysis_Inputs_10_AlternateCellLabel" hidden="1">""</definedName>
    <definedName name="PTree_SensitivityAnalysis_Inputs_10_BaseValueIsAutomatic" hidden="1">TRUE</definedName>
    <definedName name="PTree_SensitivityAnalysis_Inputs_10_MaintainProbabilityNormalization" hidden="1">FALSE</definedName>
    <definedName name="PTree_SensitivityAnalysis_Inputs_10_ManualBaseValue" hidden="1">0</definedName>
    <definedName name="PTree_SensitivityAnalysis_Inputs_10_Maximum" hidden="1">10000</definedName>
    <definedName name="PTree_SensitivityAnalysis_Inputs_10_Minimum" hidden="1">1000</definedName>
    <definedName name="PTree_SensitivityAnalysis_Inputs_10_OneWayAnalysis" hidden="1">1</definedName>
    <definedName name="PTree_SensitivityAnalysis_Inputs_10_Steps" hidden="1">25</definedName>
    <definedName name="PTree_SensitivityAnalysis_Inputs_10_TwoWayAnalysis" hidden="1">0</definedName>
    <definedName name="PTree_SensitivityAnalysis_Inputs_10_VariationMethod" hidden="1">2</definedName>
    <definedName name="PTree_SensitivityAnalysis_Inputs_10_VaryCell" hidden="1">Tree!$I$14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75000</definedName>
    <definedName name="PTree_SensitivityAnalysis_Inputs_2_Minimum" hidden="1">1000</definedName>
    <definedName name="PTree_SensitivityAnalysis_Inputs_2_OneWayAnalysis" hidden="1">1</definedName>
    <definedName name="PTree_SensitivityAnalysis_Inputs_2_Steps" hidden="1">25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Tree!$D$200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75000</definedName>
    <definedName name="PTree_SensitivityAnalysis_Inputs_3_Minimum" hidden="1">1000</definedName>
    <definedName name="PTree_SensitivityAnalysis_Inputs_3_OneWayAnalysis" hidden="1">1</definedName>
    <definedName name="PTree_SensitivityAnalysis_Inputs_3_Steps" hidden="1">25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Tree!$E$39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75000</definedName>
    <definedName name="PTree_SensitivityAnalysis_Inputs_4_Minimum" hidden="1">1000</definedName>
    <definedName name="PTree_SensitivityAnalysis_Inputs_4_OneWayAnalysis" hidden="1">1</definedName>
    <definedName name="PTree_SensitivityAnalysis_Inputs_4_Steps" hidden="1">25</definedName>
    <definedName name="PTree_SensitivityAnalysis_Inputs_4_TwoWayAnalysis" hidden="1">0</definedName>
    <definedName name="PTree_SensitivityAnalysis_Inputs_4_VariationMethod" hidden="1">2</definedName>
    <definedName name="PTree_SensitivityAnalysis_Inputs_4_VaryCell" hidden="1">Tree!$E$103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75000</definedName>
    <definedName name="PTree_SensitivityAnalysis_Inputs_5_Minimum" hidden="1">1000</definedName>
    <definedName name="PTree_SensitivityAnalysis_Inputs_5_OneWayAnalysis" hidden="1">1</definedName>
    <definedName name="PTree_SensitivityAnalysis_Inputs_5_Steps" hidden="1">25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Tree!$F$23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75000</definedName>
    <definedName name="PTree_SensitivityAnalysis_Inputs_6_Minimum" hidden="1">1000</definedName>
    <definedName name="PTree_SensitivityAnalysis_Inputs_6_OneWayAnalysis" hidden="1">1</definedName>
    <definedName name="PTree_SensitivityAnalysis_Inputs_6_Steps" hidden="1">25</definedName>
    <definedName name="PTree_SensitivityAnalysis_Inputs_6_TwoWayAnalysis" hidden="1">0</definedName>
    <definedName name="PTree_SensitivityAnalysis_Inputs_6_VariationMethod" hidden="1">2</definedName>
    <definedName name="PTree_SensitivityAnalysis_Inputs_6_VaryCell" hidden="1">Tree!$F$55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5000</definedName>
    <definedName name="PTree_SensitivityAnalysis_Inputs_7_Minimum" hidden="1">1000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2</definedName>
    <definedName name="PTree_SensitivityAnalysis_Inputs_7_VaryCell" hidden="1">Tree!$H$12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5000</definedName>
    <definedName name="PTree_SensitivityAnalysis_Inputs_8_Minimum" hidden="1">1000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2</definedName>
    <definedName name="PTree_SensitivityAnalysis_Inputs_8_VaryCell" hidden="1">Tree!$H$20</definedName>
    <definedName name="PTree_SensitivityAnalysis_Inputs_9_AlternateCellLabel" hidden="1">""</definedName>
    <definedName name="PTree_SensitivityAnalysis_Inputs_9_BaseValueIsAutomatic" hidden="1">TRUE</definedName>
    <definedName name="PTree_SensitivityAnalysis_Inputs_9_MaintainProbabilityNormalization" hidden="1">FALSE</definedName>
    <definedName name="PTree_SensitivityAnalysis_Inputs_9_ManualBaseValue" hidden="1">0</definedName>
    <definedName name="PTree_SensitivityAnalysis_Inputs_9_Maximum" hidden="1">10000</definedName>
    <definedName name="PTree_SensitivityAnalysis_Inputs_9_Minimum" hidden="1">1000</definedName>
    <definedName name="PTree_SensitivityAnalysis_Inputs_9_OneWayAnalysis" hidden="1">1</definedName>
    <definedName name="PTree_SensitivityAnalysis_Inputs_9_Steps" hidden="1">25</definedName>
    <definedName name="PTree_SensitivityAnalysis_Inputs_9_TwoWayAnalysis" hidden="1">0</definedName>
    <definedName name="PTree_SensitivityAnalysis_Inputs_9_VariationMethod" hidden="1">2</definedName>
    <definedName name="PTree_SensitivityAnalysis_Inputs_9_VaryCell" hidden="1">Tree!$I$10</definedName>
    <definedName name="PTree_SensitivityAnalysis_Inputs_Count" hidden="1">10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PTreeObjectReference(PTDecisionTreeNode_1_1,Tree!$C$264)</definedName>
    <definedName name="PTree_SensitivityAnalysis_ReportPlacement" hidden="1">1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O2" i="3"/>
  <c r="N3" i="3"/>
  <c r="O3" i="3"/>
  <c r="Y3" i="3"/>
  <c r="P25" i="3" s="1"/>
  <c r="N4" i="3"/>
  <c r="O4" i="3" s="1"/>
  <c r="Y4" i="3"/>
  <c r="P6" i="3" s="1"/>
  <c r="N5" i="3"/>
  <c r="O5" i="3"/>
  <c r="N6" i="3"/>
  <c r="O6" i="3"/>
  <c r="Q6" i="3" s="1"/>
  <c r="R6" i="3" s="1"/>
  <c r="X6" i="3"/>
  <c r="N7" i="3"/>
  <c r="O7" i="3"/>
  <c r="X7" i="3"/>
  <c r="N8" i="3"/>
  <c r="O8" i="3"/>
  <c r="N9" i="3"/>
  <c r="O9" i="3" s="1"/>
  <c r="Y9" i="3"/>
  <c r="P8" i="3" s="1"/>
  <c r="N10" i="3"/>
  <c r="O10" i="3"/>
  <c r="N11" i="3"/>
  <c r="O11" i="3" s="1"/>
  <c r="N12" i="3"/>
  <c r="O12" i="3"/>
  <c r="P12" i="3"/>
  <c r="Q12" i="3"/>
  <c r="R12" i="3" s="1"/>
  <c r="N13" i="3"/>
  <c r="O13" i="3"/>
  <c r="N14" i="3"/>
  <c r="O14" i="3"/>
  <c r="N15" i="3"/>
  <c r="O15" i="3" s="1"/>
  <c r="N16" i="3"/>
  <c r="O16" i="3"/>
  <c r="N17" i="3"/>
  <c r="O17" i="3"/>
  <c r="Q17" i="3" s="1"/>
  <c r="R17" i="3" s="1"/>
  <c r="P17" i="3"/>
  <c r="N18" i="3"/>
  <c r="O18" i="3"/>
  <c r="N19" i="3"/>
  <c r="O19" i="3"/>
  <c r="N20" i="3"/>
  <c r="O20" i="3"/>
  <c r="N21" i="3"/>
  <c r="O21" i="3"/>
  <c r="N22" i="3"/>
  <c r="O22" i="3"/>
  <c r="N23" i="3"/>
  <c r="O23" i="3" s="1"/>
  <c r="N24" i="3"/>
  <c r="O24" i="3"/>
  <c r="P24" i="3"/>
  <c r="Q24" i="3"/>
  <c r="R24" i="3" s="1"/>
  <c r="N25" i="3"/>
  <c r="O25" i="3"/>
  <c r="Q25" i="3" s="1"/>
  <c r="R25" i="3" s="1"/>
  <c r="N26" i="3"/>
  <c r="O26" i="3"/>
  <c r="N27" i="3"/>
  <c r="O27" i="3" s="1"/>
  <c r="N28" i="3"/>
  <c r="O28" i="3"/>
  <c r="N29" i="3"/>
  <c r="O29" i="3"/>
  <c r="Q29" i="3" s="1"/>
  <c r="R29" i="3" s="1"/>
  <c r="P29" i="3"/>
  <c r="N30" i="3"/>
  <c r="O30" i="3"/>
  <c r="N31" i="3"/>
  <c r="O31" i="3"/>
  <c r="N32" i="3"/>
  <c r="O32" i="3"/>
  <c r="N33" i="3"/>
  <c r="O33" i="3"/>
  <c r="N34" i="3"/>
  <c r="O34" i="3"/>
  <c r="Q34" i="3" s="1"/>
  <c r="R34" i="3" s="1"/>
  <c r="P34" i="3"/>
  <c r="N35" i="3"/>
  <c r="O35" i="3" s="1"/>
  <c r="N36" i="3"/>
  <c r="O36" i="3"/>
  <c r="P36" i="3"/>
  <c r="Q36" i="3"/>
  <c r="R36" i="3" s="1"/>
  <c r="N37" i="3"/>
  <c r="O37" i="3"/>
  <c r="N38" i="3"/>
  <c r="O38" i="3"/>
  <c r="P38" i="3"/>
  <c r="Q38" i="3"/>
  <c r="R38" i="3"/>
  <c r="N39" i="3"/>
  <c r="O39" i="3" s="1"/>
  <c r="N40" i="3"/>
  <c r="O40" i="3"/>
  <c r="P40" i="3"/>
  <c r="Q40" i="3"/>
  <c r="R40" i="3"/>
  <c r="N41" i="3"/>
  <c r="O41" i="3"/>
  <c r="Q41" i="3" s="1"/>
  <c r="R41" i="3" s="1"/>
  <c r="P41" i="3"/>
  <c r="N42" i="3"/>
  <c r="O42" i="3"/>
  <c r="Q42" i="3" s="1"/>
  <c r="R42" i="3" s="1"/>
  <c r="P42" i="3"/>
  <c r="N43" i="3"/>
  <c r="O43" i="3"/>
  <c r="N44" i="3"/>
  <c r="O44" i="3" s="1"/>
  <c r="Q44" i="3" s="1"/>
  <c r="R44" i="3" s="1"/>
  <c r="P44" i="3"/>
  <c r="N45" i="3"/>
  <c r="O45" i="3"/>
  <c r="N46" i="3"/>
  <c r="O46" i="3"/>
  <c r="Q46" i="3" s="1"/>
  <c r="R46" i="3" s="1"/>
  <c r="P46" i="3"/>
  <c r="N47" i="3"/>
  <c r="O47" i="3" s="1"/>
  <c r="N48" i="3"/>
  <c r="O48" i="3"/>
  <c r="P48" i="3"/>
  <c r="Q48" i="3"/>
  <c r="R48" i="3" s="1"/>
  <c r="N49" i="3"/>
  <c r="O49" i="3"/>
  <c r="N50" i="3"/>
  <c r="O50" i="3"/>
  <c r="P50" i="3"/>
  <c r="Q50" i="3"/>
  <c r="R50" i="3"/>
  <c r="N51" i="3"/>
  <c r="O51" i="3" s="1"/>
  <c r="N52" i="3"/>
  <c r="O52" i="3"/>
  <c r="P52" i="3"/>
  <c r="Q52" i="3"/>
  <c r="R52" i="3"/>
  <c r="N53" i="3"/>
  <c r="O53" i="3"/>
  <c r="Q53" i="3" s="1"/>
  <c r="R53" i="3" s="1"/>
  <c r="P53" i="3"/>
  <c r="N54" i="3"/>
  <c r="O54" i="3"/>
  <c r="Q54" i="3" s="1"/>
  <c r="R54" i="3" s="1"/>
  <c r="P54" i="3"/>
  <c r="N55" i="3"/>
  <c r="O55" i="3"/>
  <c r="N56" i="3"/>
  <c r="O56" i="3" s="1"/>
  <c r="Q56" i="3" s="1"/>
  <c r="R56" i="3" s="1"/>
  <c r="P56" i="3"/>
  <c r="N57" i="3"/>
  <c r="O57" i="3"/>
  <c r="N58" i="3"/>
  <c r="O58" i="3"/>
  <c r="Q58" i="3" s="1"/>
  <c r="R58" i="3" s="1"/>
  <c r="P58" i="3"/>
  <c r="N59" i="3"/>
  <c r="O59" i="3" s="1"/>
  <c r="N60" i="3"/>
  <c r="O60" i="3"/>
  <c r="P60" i="3"/>
  <c r="Q60" i="3"/>
  <c r="R60" i="3" s="1"/>
  <c r="N61" i="3"/>
  <c r="O61" i="3"/>
  <c r="N62" i="3"/>
  <c r="O62" i="3"/>
  <c r="P62" i="3"/>
  <c r="Q62" i="3"/>
  <c r="R62" i="3"/>
  <c r="N63" i="3"/>
  <c r="O63" i="3" s="1"/>
  <c r="N64" i="3"/>
  <c r="O64" i="3"/>
  <c r="P64" i="3"/>
  <c r="Q64" i="3"/>
  <c r="R64" i="3"/>
  <c r="N65" i="3"/>
  <c r="O65" i="3"/>
  <c r="Q65" i="3" s="1"/>
  <c r="R65" i="3" s="1"/>
  <c r="P65" i="3"/>
  <c r="F72" i="3"/>
  <c r="F73" i="3"/>
  <c r="F74" i="3"/>
  <c r="F75" i="3"/>
  <c r="Q47" i="3" l="1"/>
  <c r="R47" i="3" s="1"/>
  <c r="Q27" i="3"/>
  <c r="R27" i="3" s="1"/>
  <c r="Q59" i="3"/>
  <c r="R59" i="3" s="1"/>
  <c r="Q15" i="3"/>
  <c r="R15" i="3" s="1"/>
  <c r="Q9" i="3"/>
  <c r="R9" i="3" s="1"/>
  <c r="Q8" i="3"/>
  <c r="R8" i="3" s="1"/>
  <c r="Q61" i="3"/>
  <c r="R61" i="3" s="1"/>
  <c r="Q35" i="3"/>
  <c r="R35" i="3" s="1"/>
  <c r="P43" i="3"/>
  <c r="Q43" i="3" s="1"/>
  <c r="R43" i="3" s="1"/>
  <c r="P33" i="3"/>
  <c r="Q33" i="3" s="1"/>
  <c r="R33" i="3" s="1"/>
  <c r="P28" i="3"/>
  <c r="Q28" i="3" s="1"/>
  <c r="R28" i="3" s="1"/>
  <c r="P16" i="3"/>
  <c r="Q16" i="3" s="1"/>
  <c r="R16" i="3" s="1"/>
  <c r="P7" i="3"/>
  <c r="Q7" i="3" s="1"/>
  <c r="R7" i="3" s="1"/>
  <c r="P59" i="3"/>
  <c r="P47" i="3"/>
  <c r="P35" i="3"/>
  <c r="P23" i="3"/>
  <c r="Q23" i="3" s="1"/>
  <c r="R23" i="3" s="1"/>
  <c r="P11" i="3"/>
  <c r="Q11" i="3" s="1"/>
  <c r="R11" i="3" s="1"/>
  <c r="P9" i="3"/>
  <c r="P30" i="3"/>
  <c r="Q30" i="3" s="1"/>
  <c r="R30" i="3" s="1"/>
  <c r="P18" i="3"/>
  <c r="Q18" i="3" s="1"/>
  <c r="R18" i="3" s="1"/>
  <c r="P55" i="3"/>
  <c r="Q55" i="3" s="1"/>
  <c r="R55" i="3" s="1"/>
  <c r="P31" i="3"/>
  <c r="Q31" i="3" s="1"/>
  <c r="R31" i="3" s="1"/>
  <c r="P19" i="3"/>
  <c r="Q19" i="3" s="1"/>
  <c r="R19" i="3" s="1"/>
  <c r="P26" i="3"/>
  <c r="Q26" i="3" s="1"/>
  <c r="R26" i="3" s="1"/>
  <c r="P45" i="3"/>
  <c r="Q45" i="3" s="1"/>
  <c r="R45" i="3" s="1"/>
  <c r="P5" i="3"/>
  <c r="Q5" i="3" s="1"/>
  <c r="R5" i="3" s="1"/>
  <c r="P61" i="3"/>
  <c r="P37" i="3"/>
  <c r="Q37" i="3" s="1"/>
  <c r="R37" i="3" s="1"/>
  <c r="P13" i="3"/>
  <c r="Q13" i="3" s="1"/>
  <c r="R13" i="3" s="1"/>
  <c r="P32" i="3"/>
  <c r="Q32" i="3" s="1"/>
  <c r="R32" i="3" s="1"/>
  <c r="P2" i="3"/>
  <c r="Q2" i="3" s="1"/>
  <c r="R2" i="3" s="1"/>
  <c r="P63" i="3"/>
  <c r="Q63" i="3" s="1"/>
  <c r="R63" i="3" s="1"/>
  <c r="P51" i="3"/>
  <c r="Q51" i="3" s="1"/>
  <c r="R51" i="3" s="1"/>
  <c r="P39" i="3"/>
  <c r="Q39" i="3" s="1"/>
  <c r="R39" i="3" s="1"/>
  <c r="P27" i="3"/>
  <c r="P15" i="3"/>
  <c r="P4" i="3"/>
  <c r="Q4" i="3" s="1"/>
  <c r="R4" i="3" s="1"/>
  <c r="P14" i="3"/>
  <c r="Q14" i="3" s="1"/>
  <c r="R14" i="3" s="1"/>
  <c r="X9" i="3"/>
  <c r="P57" i="3"/>
  <c r="Q57" i="3" s="1"/>
  <c r="R57" i="3" s="1"/>
  <c r="P21" i="3"/>
  <c r="Q21" i="3" s="1"/>
  <c r="R21" i="3" s="1"/>
  <c r="P3" i="3"/>
  <c r="Q3" i="3" s="1"/>
  <c r="R3" i="3" s="1"/>
  <c r="P49" i="3"/>
  <c r="Q49" i="3" s="1"/>
  <c r="R49" i="3" s="1"/>
  <c r="P20" i="3"/>
  <c r="Q20" i="3" s="1"/>
  <c r="R20" i="3" s="1"/>
  <c r="P22" i="3"/>
  <c r="Q22" i="3" s="1"/>
  <c r="R22" i="3" s="1"/>
  <c r="P10" i="3"/>
  <c r="Q10" i="3" s="1"/>
  <c r="R10" i="3" s="1"/>
  <c r="F55" i="1"/>
  <c r="K30" i="2" s="1"/>
  <c r="E103" i="1"/>
  <c r="K45" i="2" s="1"/>
  <c r="D200" i="1"/>
  <c r="J76" i="2" s="1"/>
  <c r="D72" i="1"/>
  <c r="J13" i="2"/>
  <c r="E278" i="1"/>
  <c r="J145" i="2" s="1"/>
  <c r="E274" i="1"/>
  <c r="J144" i="2" s="1"/>
  <c r="E270" i="1"/>
  <c r="J142" i="2" s="1"/>
  <c r="E266" i="1"/>
  <c r="J141" i="2" s="1"/>
  <c r="G256" i="1"/>
  <c r="J132" i="2" s="1"/>
  <c r="G208" i="1"/>
  <c r="J110" i="2" s="1"/>
  <c r="G192" i="1"/>
  <c r="J101" i="2" s="1"/>
  <c r="G144" i="1"/>
  <c r="J79" i="2" s="1"/>
  <c r="G128" i="1"/>
  <c r="J69" i="2" s="1"/>
  <c r="G80" i="1"/>
  <c r="J47" i="2" s="1"/>
  <c r="G64" i="1"/>
  <c r="J38" i="2" s="1"/>
  <c r="G16" i="1"/>
  <c r="J16" i="2" s="1"/>
  <c r="K144" i="2"/>
  <c r="J143" i="2"/>
  <c r="O143" i="2"/>
  <c r="K141" i="2"/>
  <c r="K140" i="2"/>
  <c r="J140" i="2"/>
  <c r="O140" i="2"/>
  <c r="J139" i="2"/>
  <c r="O139" i="2"/>
  <c r="J138" i="2"/>
  <c r="K137" i="2"/>
  <c r="J137" i="2"/>
  <c r="J136" i="2"/>
  <c r="O136" i="2"/>
  <c r="J135" i="2"/>
  <c r="K134" i="2"/>
  <c r="J134" i="2"/>
  <c r="K133" i="2"/>
  <c r="J133" i="2"/>
  <c r="O133" i="2"/>
  <c r="K132" i="2"/>
  <c r="O132" i="2"/>
  <c r="J131" i="2"/>
  <c r="K130" i="2"/>
  <c r="J130" i="2"/>
  <c r="J129" i="2"/>
  <c r="O129" i="2"/>
  <c r="J128" i="2"/>
  <c r="K127" i="2"/>
  <c r="J127" i="2"/>
  <c r="K126" i="2"/>
  <c r="J126" i="2"/>
  <c r="O126" i="2"/>
  <c r="K125" i="2"/>
  <c r="J125" i="2"/>
  <c r="O125" i="2"/>
  <c r="J124" i="2"/>
  <c r="O124" i="2"/>
  <c r="J123" i="2"/>
  <c r="K122" i="2"/>
  <c r="J122" i="2"/>
  <c r="J121" i="2"/>
  <c r="O121" i="2"/>
  <c r="J120" i="2"/>
  <c r="K119" i="2"/>
  <c r="J119" i="2"/>
  <c r="K118" i="2"/>
  <c r="J118" i="2"/>
  <c r="O118" i="2"/>
  <c r="K117" i="2"/>
  <c r="J117" i="2"/>
  <c r="O117" i="2"/>
  <c r="J116" i="2"/>
  <c r="K115" i="2"/>
  <c r="J115" i="2"/>
  <c r="J114" i="2"/>
  <c r="O114" i="2"/>
  <c r="J113" i="2"/>
  <c r="K112" i="2"/>
  <c r="J112" i="2"/>
  <c r="K111" i="2"/>
  <c r="J111" i="2"/>
  <c r="O111" i="2"/>
  <c r="K110" i="2"/>
  <c r="O110" i="2"/>
  <c r="K109" i="2"/>
  <c r="J109" i="2"/>
  <c r="O109" i="2"/>
  <c r="J108" i="2"/>
  <c r="O108" i="2"/>
  <c r="J107" i="2"/>
  <c r="K106" i="2"/>
  <c r="J106" i="2"/>
  <c r="J105" i="2"/>
  <c r="O105" i="2"/>
  <c r="J104" i="2"/>
  <c r="K103" i="2"/>
  <c r="J103" i="2"/>
  <c r="K102" i="2"/>
  <c r="J102" i="2"/>
  <c r="O102" i="2"/>
  <c r="K101" i="2"/>
  <c r="O101" i="2"/>
  <c r="J100" i="2"/>
  <c r="K99" i="2"/>
  <c r="J99" i="2"/>
  <c r="J98" i="2"/>
  <c r="O98" i="2"/>
  <c r="J97" i="2"/>
  <c r="K96" i="2"/>
  <c r="J96" i="2"/>
  <c r="K95" i="2"/>
  <c r="J95" i="2"/>
  <c r="O95" i="2"/>
  <c r="K94" i="2"/>
  <c r="J94" i="2"/>
  <c r="O94" i="2"/>
  <c r="J93" i="2"/>
  <c r="O93" i="2"/>
  <c r="J92" i="2"/>
  <c r="K91" i="2"/>
  <c r="J91" i="2"/>
  <c r="J90" i="2"/>
  <c r="O90" i="2"/>
  <c r="J89" i="2"/>
  <c r="K88" i="2"/>
  <c r="J88" i="2"/>
  <c r="K87" i="2"/>
  <c r="J87" i="2"/>
  <c r="O87" i="2"/>
  <c r="K86" i="2"/>
  <c r="J86" i="2"/>
  <c r="O86" i="2"/>
  <c r="J85" i="2"/>
  <c r="K84" i="2"/>
  <c r="J84" i="2"/>
  <c r="J83" i="2"/>
  <c r="O83" i="2"/>
  <c r="J82" i="2"/>
  <c r="K81" i="2"/>
  <c r="J81" i="2"/>
  <c r="K80" i="2"/>
  <c r="J80" i="2"/>
  <c r="O80" i="2"/>
  <c r="K79" i="2"/>
  <c r="O79" i="2"/>
  <c r="K78" i="2"/>
  <c r="J78" i="2"/>
  <c r="O78" i="2"/>
  <c r="K77" i="2"/>
  <c r="J77" i="2"/>
  <c r="O77" i="2"/>
  <c r="O76" i="2"/>
  <c r="J75" i="2"/>
  <c r="K74" i="2"/>
  <c r="J74" i="2"/>
  <c r="J73" i="2"/>
  <c r="O73" i="2"/>
  <c r="J72" i="2"/>
  <c r="K71" i="2"/>
  <c r="J71" i="2"/>
  <c r="K70" i="2"/>
  <c r="J70" i="2"/>
  <c r="O70" i="2"/>
  <c r="K69" i="2"/>
  <c r="O69" i="2"/>
  <c r="J68" i="2"/>
  <c r="K67" i="2"/>
  <c r="J67" i="2"/>
  <c r="J66" i="2"/>
  <c r="O66" i="2"/>
  <c r="J65" i="2"/>
  <c r="K64" i="2"/>
  <c r="J64" i="2"/>
  <c r="K63" i="2"/>
  <c r="J63" i="2"/>
  <c r="O63" i="2"/>
  <c r="K62" i="2"/>
  <c r="J62" i="2"/>
  <c r="O62" i="2"/>
  <c r="J61" i="2"/>
  <c r="O61" i="2"/>
  <c r="J60" i="2"/>
  <c r="K59" i="2"/>
  <c r="J59" i="2"/>
  <c r="J58" i="2"/>
  <c r="O58" i="2"/>
  <c r="J57" i="2"/>
  <c r="K56" i="2"/>
  <c r="J56" i="2"/>
  <c r="K55" i="2"/>
  <c r="J55" i="2"/>
  <c r="O55" i="2"/>
  <c r="K54" i="2"/>
  <c r="J54" i="2"/>
  <c r="O54" i="2"/>
  <c r="J53" i="2"/>
  <c r="K52" i="2"/>
  <c r="J52" i="2"/>
  <c r="J51" i="2"/>
  <c r="O51" i="2"/>
  <c r="J50" i="2"/>
  <c r="K49" i="2"/>
  <c r="J49" i="2"/>
  <c r="K48" i="2"/>
  <c r="J48" i="2"/>
  <c r="O48" i="2"/>
  <c r="K47" i="2"/>
  <c r="O47" i="2"/>
  <c r="K46" i="2"/>
  <c r="J46" i="2"/>
  <c r="O46" i="2"/>
  <c r="J45" i="2"/>
  <c r="O45" i="2"/>
  <c r="J44" i="2"/>
  <c r="K43" i="2"/>
  <c r="J43" i="2"/>
  <c r="J42" i="2"/>
  <c r="O42" i="2"/>
  <c r="J41" i="2"/>
  <c r="K40" i="2"/>
  <c r="J40" i="2"/>
  <c r="K39" i="2"/>
  <c r="J39" i="2"/>
  <c r="O39" i="2"/>
  <c r="K38" i="2"/>
  <c r="O38" i="2"/>
  <c r="J37" i="2"/>
  <c r="K36" i="2"/>
  <c r="J36" i="2"/>
  <c r="J35" i="2"/>
  <c r="O35" i="2"/>
  <c r="J34" i="2"/>
  <c r="K33" i="2"/>
  <c r="J33" i="2"/>
  <c r="K32" i="2"/>
  <c r="J32" i="2"/>
  <c r="O32" i="2"/>
  <c r="K31" i="2"/>
  <c r="J31" i="2"/>
  <c r="O31" i="2"/>
  <c r="J30" i="2"/>
  <c r="O30" i="2"/>
  <c r="J29" i="2"/>
  <c r="K28" i="2"/>
  <c r="J28" i="2"/>
  <c r="J27" i="2"/>
  <c r="O27" i="2"/>
  <c r="J26" i="2"/>
  <c r="K25" i="2"/>
  <c r="J25" i="2"/>
  <c r="K24" i="2"/>
  <c r="J24" i="2"/>
  <c r="O24" i="2"/>
  <c r="K23" i="2"/>
  <c r="J23" i="2"/>
  <c r="O23" i="2"/>
  <c r="J22" i="2"/>
  <c r="K21" i="2"/>
  <c r="J21" i="2"/>
  <c r="J20" i="2"/>
  <c r="O20" i="2"/>
  <c r="J19" i="2"/>
  <c r="K18" i="2"/>
  <c r="J18" i="2"/>
  <c r="K17" i="2"/>
  <c r="J17" i="2"/>
  <c r="O17" i="2"/>
  <c r="K16" i="2"/>
  <c r="O16" i="2"/>
  <c r="K15" i="2"/>
  <c r="J15" i="2"/>
  <c r="O15" i="2"/>
  <c r="K14" i="2"/>
  <c r="J14" i="2"/>
  <c r="O14" i="2"/>
  <c r="O13" i="2"/>
  <c r="J12" i="2"/>
  <c r="O12" i="2"/>
  <c r="K11" i="2"/>
  <c r="J11" i="2"/>
  <c r="O11" i="2"/>
  <c r="E277" i="1"/>
  <c r="K145" i="2" s="1"/>
  <c r="D275" i="1"/>
  <c r="K143" i="2" s="1"/>
  <c r="E269" i="1"/>
  <c r="K142" i="2" s="1"/>
  <c r="I261" i="1"/>
  <c r="K138" i="2" s="1"/>
  <c r="H259" i="1"/>
  <c r="K136" i="2" s="1"/>
  <c r="I253" i="1"/>
  <c r="K135" i="2" s="1"/>
  <c r="F247" i="1"/>
  <c r="K124" i="2" s="1"/>
  <c r="I245" i="1"/>
  <c r="K131" i="2" s="1"/>
  <c r="H243" i="1"/>
  <c r="K129" i="2" s="1"/>
  <c r="I237" i="1"/>
  <c r="K128" i="2" s="1"/>
  <c r="E231" i="1"/>
  <c r="K108" i="2" s="1"/>
  <c r="I229" i="1"/>
  <c r="K123" i="2" s="1"/>
  <c r="H227" i="1"/>
  <c r="K121" i="2" s="1"/>
  <c r="I221" i="1"/>
  <c r="K120" i="2" s="1"/>
  <c r="I213" i="1"/>
  <c r="K116" i="2" s="1"/>
  <c r="H211" i="1"/>
  <c r="K114" i="2" s="1"/>
  <c r="I205" i="1"/>
  <c r="K113" i="2" s="1"/>
  <c r="I197" i="1"/>
  <c r="K107" i="2" s="1"/>
  <c r="H195" i="1"/>
  <c r="K105" i="2" s="1"/>
  <c r="I189" i="1"/>
  <c r="K104" i="2" s="1"/>
  <c r="F183" i="1"/>
  <c r="K93" i="2" s="1"/>
  <c r="I181" i="1"/>
  <c r="K100" i="2" s="1"/>
  <c r="H179" i="1"/>
  <c r="K98" i="2" s="1"/>
  <c r="I173" i="1"/>
  <c r="K97" i="2" s="1"/>
  <c r="I165" i="1"/>
  <c r="K92" i="2" s="1"/>
  <c r="H163" i="1"/>
  <c r="K90" i="2" s="1"/>
  <c r="I157" i="1"/>
  <c r="K89" i="2" s="1"/>
  <c r="I149" i="1"/>
  <c r="K85" i="2" s="1"/>
  <c r="H147" i="1"/>
  <c r="K83" i="2" s="1"/>
  <c r="I141" i="1"/>
  <c r="K82" i="2" s="1"/>
  <c r="I133" i="1"/>
  <c r="K75" i="2" s="1"/>
  <c r="H131" i="1"/>
  <c r="K73" i="2" s="1"/>
  <c r="I125" i="1"/>
  <c r="K72" i="2" s="1"/>
  <c r="F119" i="1"/>
  <c r="K61" i="2" s="1"/>
  <c r="I117" i="1"/>
  <c r="K68" i="2" s="1"/>
  <c r="H115" i="1"/>
  <c r="K66" i="2" s="1"/>
  <c r="I109" i="1"/>
  <c r="K65" i="2" s="1"/>
  <c r="I101" i="1"/>
  <c r="K60" i="2" s="1"/>
  <c r="H99" i="1"/>
  <c r="K58" i="2" s="1"/>
  <c r="I93" i="1"/>
  <c r="K57" i="2" s="1"/>
  <c r="I85" i="1"/>
  <c r="K53" i="2" s="1"/>
  <c r="H83" i="1"/>
  <c r="K51" i="2" s="1"/>
  <c r="I77" i="1"/>
  <c r="K50" i="2" s="1"/>
  <c r="I69" i="1"/>
  <c r="K44" i="2" s="1"/>
  <c r="H67" i="1"/>
  <c r="K42" i="2" s="1"/>
  <c r="I61" i="1"/>
  <c r="K41" i="2" s="1"/>
  <c r="I53" i="1"/>
  <c r="K37" i="2" s="1"/>
  <c r="H51" i="1"/>
  <c r="K35" i="2" s="1"/>
  <c r="I45" i="1"/>
  <c r="K34" i="2" s="1"/>
  <c r="I37" i="1"/>
  <c r="K29" i="2" s="1"/>
  <c r="H35" i="1"/>
  <c r="K27" i="2" s="1"/>
  <c r="I29" i="1"/>
  <c r="K26" i="2" s="1"/>
  <c r="I21" i="1"/>
  <c r="K22" i="2" s="1"/>
  <c r="H19" i="1"/>
  <c r="K20" i="2" s="1"/>
  <c r="I13" i="1"/>
  <c r="K19" i="2" s="1"/>
  <c r="B11" i="2"/>
  <c r="B2" i="2"/>
  <c r="F2" i="2"/>
  <c r="J46" i="1"/>
  <c r="J69" i="1"/>
  <c r="J118" i="1"/>
  <c r="I108" i="1"/>
  <c r="G24" i="1"/>
  <c r="H112" i="1"/>
  <c r="I164" i="1"/>
  <c r="J82" i="1"/>
  <c r="I44" i="1"/>
  <c r="J45" i="1"/>
  <c r="H80" i="1"/>
  <c r="J37" i="1"/>
  <c r="J54" i="1"/>
  <c r="J25" i="1"/>
  <c r="F232" i="1"/>
  <c r="H192" i="1"/>
  <c r="I100" i="1"/>
  <c r="J170" i="1"/>
  <c r="J246" i="1"/>
  <c r="J90" i="1"/>
  <c r="I84" i="1"/>
  <c r="E72" i="1"/>
  <c r="D199" i="1"/>
  <c r="J242" i="1"/>
  <c r="C264" i="1"/>
  <c r="C271" i="1"/>
  <c r="J241" i="1"/>
  <c r="J13" i="1"/>
  <c r="F104" i="1"/>
  <c r="H160" i="1"/>
  <c r="J154" i="1"/>
  <c r="J78" i="1"/>
  <c r="J146" i="1"/>
  <c r="J210" i="1"/>
  <c r="J249" i="1"/>
  <c r="J65" i="1"/>
  <c r="J110" i="1"/>
  <c r="H224" i="1"/>
  <c r="J38" i="1"/>
  <c r="J109" i="1"/>
  <c r="J250" i="1"/>
  <c r="J137" i="1"/>
  <c r="J101" i="1"/>
  <c r="I116" i="1"/>
  <c r="E200" i="1"/>
  <c r="J133" i="1"/>
  <c r="I260" i="1"/>
  <c r="C135" i="1"/>
  <c r="J253" i="1"/>
  <c r="J94" i="1"/>
  <c r="J49" i="1"/>
  <c r="J58" i="1"/>
  <c r="J165" i="1"/>
  <c r="J257" i="1"/>
  <c r="J157" i="1"/>
  <c r="J21" i="1"/>
  <c r="J193" i="1"/>
  <c r="I28" i="1"/>
  <c r="J161" i="1"/>
  <c r="J189" i="1"/>
  <c r="J14" i="1"/>
  <c r="J50" i="1"/>
  <c r="J97" i="1"/>
  <c r="J29" i="1"/>
  <c r="J129" i="1"/>
  <c r="J102" i="1"/>
  <c r="I180" i="1"/>
  <c r="D272" i="1"/>
  <c r="J73" i="1"/>
  <c r="I132" i="1"/>
  <c r="J53" i="1"/>
  <c r="J138" i="1"/>
  <c r="J237" i="1"/>
  <c r="J114" i="1"/>
  <c r="F274" i="1"/>
  <c r="J205" i="1"/>
  <c r="H64" i="1"/>
  <c r="J214" i="1"/>
  <c r="D136" i="1"/>
  <c r="J218" i="1"/>
  <c r="F270" i="1"/>
  <c r="G120" i="1"/>
  <c r="J125" i="1"/>
  <c r="F278" i="1"/>
  <c r="I244" i="1"/>
  <c r="I92" i="1"/>
  <c r="D71" i="1"/>
  <c r="J153" i="1"/>
  <c r="J150" i="1"/>
  <c r="J202" i="1"/>
  <c r="H32" i="1"/>
  <c r="I12" i="1"/>
  <c r="J217" i="1"/>
  <c r="J61" i="1"/>
  <c r="H208" i="1"/>
  <c r="J122" i="1"/>
  <c r="J81" i="1"/>
  <c r="J226" i="1"/>
  <c r="I68" i="1"/>
  <c r="J106" i="1"/>
  <c r="J66" i="1"/>
  <c r="J173" i="1"/>
  <c r="J225" i="1"/>
  <c r="I236" i="1"/>
  <c r="I20" i="1"/>
  <c r="J254" i="1"/>
  <c r="J42" i="1"/>
  <c r="H16" i="1"/>
  <c r="E268" i="1"/>
  <c r="J86" i="1"/>
  <c r="J221" i="1"/>
  <c r="J194" i="1"/>
  <c r="J229" i="1"/>
  <c r="I124" i="1"/>
  <c r="G152" i="1"/>
  <c r="J166" i="1"/>
  <c r="J162" i="1"/>
  <c r="J258" i="1"/>
  <c r="J245" i="1"/>
  <c r="H144" i="1"/>
  <c r="J30" i="1"/>
  <c r="J121" i="1"/>
  <c r="J149" i="1"/>
  <c r="I172" i="1"/>
  <c r="J117" i="1"/>
  <c r="J141" i="1"/>
  <c r="J238" i="1"/>
  <c r="F265" i="1"/>
  <c r="J169" i="1"/>
  <c r="J77" i="1"/>
  <c r="I196" i="1"/>
  <c r="F168" i="1"/>
  <c r="J198" i="1"/>
  <c r="J9" i="1"/>
  <c r="H256" i="1"/>
  <c r="I252" i="1"/>
  <c r="J201" i="1"/>
  <c r="H240" i="1"/>
  <c r="J33" i="1"/>
  <c r="J105" i="1"/>
  <c r="I156" i="1"/>
  <c r="I60" i="1"/>
  <c r="J158" i="1"/>
  <c r="J233" i="1"/>
  <c r="I36" i="1"/>
  <c r="J98" i="1"/>
  <c r="J22" i="1"/>
  <c r="J89" i="1"/>
  <c r="J85" i="1"/>
  <c r="J26" i="1"/>
  <c r="G56" i="1"/>
  <c r="I52" i="1"/>
  <c r="J113" i="1"/>
  <c r="I76" i="1"/>
  <c r="J209" i="1"/>
  <c r="J185" i="1"/>
  <c r="I188" i="1"/>
  <c r="J213" i="1"/>
  <c r="I228" i="1"/>
  <c r="J177" i="1"/>
  <c r="J234" i="1"/>
  <c r="J145" i="1"/>
  <c r="J74" i="1"/>
  <c r="J261" i="1"/>
  <c r="J17" i="1"/>
  <c r="I220" i="1"/>
  <c r="J197" i="1"/>
  <c r="J57" i="1"/>
  <c r="G88" i="1"/>
  <c r="J41" i="1"/>
  <c r="J18" i="1"/>
  <c r="J190" i="1"/>
  <c r="J174" i="1"/>
  <c r="F273" i="1"/>
  <c r="I140" i="1"/>
  <c r="J126" i="1"/>
  <c r="J181" i="1"/>
  <c r="H128" i="1"/>
  <c r="J62" i="1"/>
  <c r="J142" i="1"/>
  <c r="J70" i="1"/>
  <c r="J262" i="1"/>
  <c r="J222" i="1"/>
  <c r="I204" i="1"/>
  <c r="J134" i="1"/>
  <c r="J178" i="1"/>
  <c r="J93" i="1"/>
  <c r="G216" i="1"/>
  <c r="H96" i="1"/>
  <c r="I212" i="1"/>
  <c r="J206" i="1"/>
  <c r="F277" i="1"/>
  <c r="J182" i="1"/>
  <c r="J34" i="1"/>
  <c r="F269" i="1"/>
  <c r="F40" i="1"/>
  <c r="G248" i="1"/>
  <c r="E276" i="1"/>
  <c r="J186" i="1"/>
  <c r="I148" i="1"/>
  <c r="H48" i="1"/>
  <c r="F266" i="1"/>
  <c r="J230" i="1"/>
  <c r="J10" i="1"/>
  <c r="J130" i="1"/>
  <c r="H176" i="1"/>
  <c r="G184" i="1"/>
  <c r="A38" i="2" l="1"/>
  <c r="A95" i="2"/>
  <c r="A104" i="2"/>
  <c r="A11" i="2"/>
  <c r="A113" i="2"/>
  <c r="A122" i="2"/>
  <c r="A15" i="2"/>
  <c r="A74" i="2"/>
  <c r="A27" i="2"/>
  <c r="A65" i="2"/>
  <c r="A92" i="2"/>
  <c r="A39" i="2"/>
  <c r="A101" i="2"/>
  <c r="A12" i="2"/>
  <c r="A20" i="2"/>
  <c r="A44" i="2"/>
  <c r="A137" i="2"/>
  <c r="A24" i="2"/>
  <c r="A36" i="2"/>
  <c r="A71" i="2"/>
  <c r="A98" i="2"/>
  <c r="A107" i="2"/>
  <c r="A21" i="2"/>
  <c r="A41" i="2"/>
  <c r="A116" i="2"/>
  <c r="A125" i="2"/>
  <c r="A134" i="2"/>
  <c r="A42" i="2"/>
  <c r="A23" i="2"/>
  <c r="A47" i="2"/>
  <c r="A119" i="2"/>
  <c r="A89" i="2"/>
  <c r="A18" i="2"/>
  <c r="A131" i="2"/>
  <c r="A140" i="2"/>
  <c r="A35" i="2"/>
  <c r="A56" i="2"/>
  <c r="A83" i="2"/>
  <c r="A110" i="2"/>
  <c r="A128" i="2"/>
  <c r="A32" i="2"/>
  <c r="A53" i="2"/>
  <c r="A29" i="2"/>
  <c r="A62" i="2"/>
  <c r="A80" i="2"/>
  <c r="A143" i="2"/>
  <c r="A17" i="2"/>
  <c r="A14" i="2"/>
  <c r="A33" i="2"/>
  <c r="A59" i="2"/>
  <c r="A77" i="2"/>
  <c r="A26" i="2"/>
  <c r="A30" i="2"/>
  <c r="A50" i="2"/>
  <c r="A68" i="2"/>
  <c r="A86" i="2"/>
  <c r="A45" i="2"/>
  <c r="A51" i="2"/>
  <c r="A60" i="2"/>
  <c r="A66" i="2"/>
  <c r="A75" i="2"/>
  <c r="A81" i="2"/>
  <c r="A90" i="2"/>
  <c r="A96" i="2"/>
  <c r="A99" i="2"/>
  <c r="A105" i="2"/>
  <c r="A111" i="2"/>
  <c r="A117" i="2"/>
  <c r="A123" i="2"/>
  <c r="A132" i="2"/>
  <c r="A144" i="2"/>
  <c r="A40" i="2"/>
  <c r="A49" i="2"/>
  <c r="A52" i="2"/>
  <c r="A55" i="2"/>
  <c r="A61" i="2"/>
  <c r="A64" i="2"/>
  <c r="A67" i="2"/>
  <c r="A73" i="2"/>
  <c r="A76" i="2"/>
  <c r="A82" i="2"/>
  <c r="A85" i="2"/>
  <c r="A91" i="2"/>
  <c r="A94" i="2"/>
  <c r="A100" i="2"/>
  <c r="A103" i="2"/>
  <c r="A106" i="2"/>
  <c r="A109" i="2"/>
  <c r="A112" i="2"/>
  <c r="A115" i="2"/>
  <c r="A118" i="2"/>
  <c r="A121" i="2"/>
  <c r="A127" i="2"/>
  <c r="A130" i="2"/>
  <c r="A133" i="2"/>
  <c r="A136" i="2"/>
  <c r="A139" i="2"/>
  <c r="A142" i="2"/>
  <c r="A145" i="2"/>
  <c r="A57" i="2"/>
  <c r="A72" i="2"/>
  <c r="A84" i="2"/>
  <c r="A126" i="2"/>
  <c r="A22" i="2"/>
  <c r="A31" i="2"/>
  <c r="A37" i="2"/>
  <c r="A46" i="2"/>
  <c r="A58" i="2"/>
  <c r="A70" i="2"/>
  <c r="A79" i="2"/>
  <c r="A88" i="2"/>
  <c r="A97" i="2"/>
  <c r="A124" i="2"/>
  <c r="A48" i="2"/>
  <c r="A54" i="2"/>
  <c r="A63" i="2"/>
  <c r="A69" i="2"/>
  <c r="A78" i="2"/>
  <c r="A87" i="2"/>
  <c r="A93" i="2"/>
  <c r="A102" i="2"/>
  <c r="A108" i="2"/>
  <c r="A114" i="2"/>
  <c r="A120" i="2"/>
  <c r="A129" i="2"/>
  <c r="A135" i="2"/>
  <c r="A138" i="2"/>
  <c r="A141" i="2"/>
  <c r="A13" i="2"/>
  <c r="A16" i="2"/>
  <c r="A19" i="2"/>
  <c r="A25" i="2"/>
  <c r="A28" i="2"/>
  <c r="A34" i="2"/>
  <c r="A43" i="2"/>
</calcChain>
</file>

<file path=xl/sharedStrings.xml><?xml version="1.0" encoding="utf-8"?>
<sst xmlns="http://schemas.openxmlformats.org/spreadsheetml/2006/main" count="1435" uniqueCount="227">
  <si>
    <t>26556C5C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</si>
  <si>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</si>
  <si>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</si>
  <si>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</si>
  <si>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</si>
  <si>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</si>
  <si>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</si>
  <si>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</si>
  <si>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</si>
  <si>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</si>
  <si>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</si>
  <si>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</si>
  <si>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</si>
  <si>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</si>
  <si>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</si>
  <si>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</si>
  <si>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</si>
  <si>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</si>
  <si>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</si>
  <si>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</si>
  <si>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</si>
  <si>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</si>
  <si>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</si>
  <si>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</si>
  <si>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</si>
  <si>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</si>
  <si>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</si>
  <si>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</si>
  <si>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</si>
  <si>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</si>
  <si>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</si>
  <si>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</si>
  <si>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</si>
  <si>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</si>
  <si>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</si>
  <si>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</si>
  <si>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</si>
  <si>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</si>
  <si>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8.9.0</t>
  </si>
  <si>
    <t>5.0.0</t>
  </si>
  <si>
    <t>&lt;NF&gt;</t>
  </si>
  <si>
    <t>Automatic</t>
  </si>
  <si>
    <t/>
  </si>
  <si>
    <t>DEFAULT</t>
  </si>
  <si>
    <t>0</t>
  </si>
  <si>
    <t>Maintenance Cost</t>
  </si>
  <si>
    <t>Degradation Cost</t>
  </si>
  <si>
    <t>VPP Contribution</t>
  </si>
  <si>
    <t>Household Consumption (kWh)</t>
  </si>
  <si>
    <t>Weather and Energy Prodn(kWh)</t>
  </si>
  <si>
    <t>Payment Decision</t>
  </si>
  <si>
    <t>Decision (30 yr period)</t>
  </si>
  <si>
    <t>Rate Fluctuations</t>
  </si>
  <si>
    <t>2,0,0,2,2,129,0,0,0</t>
  </si>
  <si>
    <t>Install Solar</t>
  </si>
  <si>
    <t>2,0,0,2,3,66,1,0,0</t>
  </si>
  <si>
    <t>Finance It</t>
  </si>
  <si>
    <t>1,0,0,2,4,35,2,0,0</t>
  </si>
  <si>
    <t>Sunny</t>
  </si>
  <si>
    <t>1,0,0,2,5,20,3,0,0</t>
  </si>
  <si>
    <t>High Consumption</t>
  </si>
  <si>
    <t>1,0,0,2,6,13,4,0,0</t>
  </si>
  <si>
    <t>No Net Meter</t>
  </si>
  <si>
    <t>1,0,0,2,7,10,5,0,0</t>
  </si>
  <si>
    <t>Low Degradation</t>
  </si>
  <si>
    <t>1,0,0,2,8,9,6,0,0</t>
  </si>
  <si>
    <t>High Maintenance</t>
  </si>
  <si>
    <t>4,0,0,0,7,0,0</t>
  </si>
  <si>
    <t>Low Maintenance</t>
  </si>
  <si>
    <t>High Degradation</t>
  </si>
  <si>
    <t>1,0,0,2,11,12,6,0,0</t>
  </si>
  <si>
    <t>4,0,0,0,10,0,0</t>
  </si>
  <si>
    <t>Net Meter</t>
  </si>
  <si>
    <t>1,0,0,2,14,17,5,0,0</t>
  </si>
  <si>
    <t>1,0,0,2,15,16,13,0,0</t>
  </si>
  <si>
    <t>4,0,0,0,14,0,0</t>
  </si>
  <si>
    <t>low maintenance</t>
  </si>
  <si>
    <t>1,0,0,2,18,19,13,0,0</t>
  </si>
  <si>
    <t>4,0,0,0,17,0,0</t>
  </si>
  <si>
    <t>low consumption</t>
  </si>
  <si>
    <t>1,0,0,2,21,28,4,0,0</t>
  </si>
  <si>
    <t>No VPP</t>
  </si>
  <si>
    <t>1,0,0,2,22,25,20,0,0</t>
  </si>
  <si>
    <t>1,0,0,2,23,24,21,0,0</t>
  </si>
  <si>
    <t>4,0,0,0,22,0,0</t>
  </si>
  <si>
    <t>1,0,0,2,26,27,21,0,0</t>
  </si>
  <si>
    <t>4,0,0,0,25,0,0</t>
  </si>
  <si>
    <t>VPP</t>
  </si>
  <si>
    <t>1,0,0,2,29,32,20,0,0</t>
  </si>
  <si>
    <t>1,0,0,2,30,31,28,0,0</t>
  </si>
  <si>
    <t>4,0,0,0,29,0,0</t>
  </si>
  <si>
    <t>1,0,0,2,33,34,28,0,0</t>
  </si>
  <si>
    <t>4,0,0,0,32,0,0</t>
  </si>
  <si>
    <t>cloudy days</t>
  </si>
  <si>
    <t>1,0,0,2,36,51,3,0,0</t>
  </si>
  <si>
    <t>high consumption</t>
  </si>
  <si>
    <t>1,0,0,2,37,44,35,0,0</t>
  </si>
  <si>
    <t>1,0,0,2,38,41,36,0,0</t>
  </si>
  <si>
    <t>1,0,0,2,39,40,37,0,0</t>
  </si>
  <si>
    <t>4,0,0,0,38,0,0</t>
  </si>
  <si>
    <t>1,0,0,2,42,43,37,0,0</t>
  </si>
  <si>
    <t>4,0,0,0,41,0,0</t>
  </si>
  <si>
    <t>1,0,0,2,45,48,36,0,0</t>
  </si>
  <si>
    <t>1,0,0,2,46,47,44,0,0</t>
  </si>
  <si>
    <t>4,0,0,0,45,0,0</t>
  </si>
  <si>
    <t>1,0,0,2,49,50,44,0,0</t>
  </si>
  <si>
    <t>4,0,0,0,48,0,0</t>
  </si>
  <si>
    <t>1,0,0,2,52,59,35,0,0</t>
  </si>
  <si>
    <t>1,0,0,2,53,56,51,0,0</t>
  </si>
  <si>
    <t>1,0,0,2,54,55,52,0,0</t>
  </si>
  <si>
    <t>4,0,0,0,53,0,0</t>
  </si>
  <si>
    <t>1,0,0,2,57,58,52,0,0</t>
  </si>
  <si>
    <t>4,0,0,0,56,0,0</t>
  </si>
  <si>
    <t>1,0,0,2,60,63,51,0,0</t>
  </si>
  <si>
    <t>1,0,0,2,61,62,59,0,0</t>
  </si>
  <si>
    <t>4,0,0,0,60,0,0</t>
  </si>
  <si>
    <t>1,0,0,2,64,65,59,0,0</t>
  </si>
  <si>
    <t>4,0,0,0,63,0,0</t>
  </si>
  <si>
    <t>upfront</t>
  </si>
  <si>
    <t>1,0,0,2,67,98,2,0,0</t>
  </si>
  <si>
    <t>sunny days</t>
  </si>
  <si>
    <t>1,0,0,2,68,83,66,0,0</t>
  </si>
  <si>
    <t>1,0,0,2,69,76,67,0,0</t>
  </si>
  <si>
    <t>1,0,0,2,70,73,68,0,0</t>
  </si>
  <si>
    <t>1,0,0,2,71,72,69,0,0</t>
  </si>
  <si>
    <t>4,0,0,0,70,0,0</t>
  </si>
  <si>
    <t>1,0,0,2,74,75,69,0,0</t>
  </si>
  <si>
    <t>4,0,0,0,73,0,0</t>
  </si>
  <si>
    <t>1,0,0,2,77,80,68,0,0</t>
  </si>
  <si>
    <t>1,0,0,2,78,79,76,0,0</t>
  </si>
  <si>
    <t>4,0,0,0,77,0,0</t>
  </si>
  <si>
    <t>1,0,0,2,81,82,76,0,0</t>
  </si>
  <si>
    <t>4,0,0,0,80,0,0</t>
  </si>
  <si>
    <t>1,0,0,2,84,91,67,0,0</t>
  </si>
  <si>
    <t>1,0,0,2,85,88,83,0,0</t>
  </si>
  <si>
    <t>1,0,0,2,86,87,84,0,0</t>
  </si>
  <si>
    <t>4,0,0,0,85,0,0</t>
  </si>
  <si>
    <t>1,0,0,2,89,90,84,0,0</t>
  </si>
  <si>
    <t>4,0,0,0,88,0,0</t>
  </si>
  <si>
    <t>1,0,0,2,92,95,83,0,0</t>
  </si>
  <si>
    <t>1,0,0,2,93,94,91,0,0</t>
  </si>
  <si>
    <t>4,0,0,0,92,0,0</t>
  </si>
  <si>
    <t>1,0,0,2,96,97,91,0,0</t>
  </si>
  <si>
    <t>4,0,0,0,95,0,0</t>
  </si>
  <si>
    <t>1,0,0,2,99,114,66,0,0</t>
  </si>
  <si>
    <t>1,0,0,2,100,107,98,0,0</t>
  </si>
  <si>
    <t>1,0,0,2,101,104,99,0,0</t>
  </si>
  <si>
    <t>1,0,0,2,102,103,100,0,0</t>
  </si>
  <si>
    <t>4,0,0,0,101,0,0</t>
  </si>
  <si>
    <t>1,0,0,2,105,106,100,0,0</t>
  </si>
  <si>
    <t>4,0,0,0,104,0,0</t>
  </si>
  <si>
    <t>1,0,0,2,108,111,99,0,0</t>
  </si>
  <si>
    <t>1,0,0,2,109,110,107,0,0</t>
  </si>
  <si>
    <t>4,0,0,0,108,0,0</t>
  </si>
  <si>
    <t>1,0,0,2,112,113,107,0,0</t>
  </si>
  <si>
    <t>4,0,0,0,111,0,0</t>
  </si>
  <si>
    <t>1,0,0,2,115,122,98,0,0</t>
  </si>
  <si>
    <t>1,0,0,2,116,119,114,0,0</t>
  </si>
  <si>
    <t>1,0,0,2,117,118,115,0,0</t>
  </si>
  <si>
    <t>4,0,0,0,116,0,0</t>
  </si>
  <si>
    <t>1,0,0,2,120,121,115,0,0</t>
  </si>
  <si>
    <t>4,0,0,0,119,0,0</t>
  </si>
  <si>
    <t>1,0,0,2,123,126,114,0,0</t>
  </si>
  <si>
    <t>1,0,0,2,124,125,122,0,0</t>
  </si>
  <si>
    <t>4,0,0,0,123,0,0</t>
  </si>
  <si>
    <t>1,0,0,2,127,128,122,0,0</t>
  </si>
  <si>
    <t>4,0,0,0,126,0,0</t>
  </si>
  <si>
    <t>don’t install</t>
  </si>
  <si>
    <t>1,0,0,2,130,133,1,0,0</t>
  </si>
  <si>
    <t>Rate Increases</t>
  </si>
  <si>
    <t>1,0,0,2,131,132,129,0,0</t>
  </si>
  <si>
    <t>4,0,0,0,130,0,0</t>
  </si>
  <si>
    <t>Low Consumption</t>
  </si>
  <si>
    <t>Rate Decreases/Stable</t>
  </si>
  <si>
    <t>1,0,0,2,134,135,129,0,0</t>
  </si>
  <si>
    <t>4,0,0,0,133,0,0</t>
  </si>
  <si>
    <t>0,1,1,0,0,Exponential, 0,0,0,0,-1,-1,.0001</t>
  </si>
  <si>
    <t>Solar or Not</t>
  </si>
  <si>
    <t>Low</t>
  </si>
  <si>
    <t>Stable/Decreases</t>
  </si>
  <si>
    <t>Not Install -&gt; Electricity Rate -&gt; Consumption -&gt; Policy</t>
  </si>
  <si>
    <t>No change in policy</t>
  </si>
  <si>
    <t>Decreases</t>
  </si>
  <si>
    <t>High</t>
  </si>
  <si>
    <t>Carbon penalties introduced</t>
  </si>
  <si>
    <t>Increases</t>
  </si>
  <si>
    <t>Stable</t>
  </si>
  <si>
    <t>Total Cost</t>
  </si>
  <si>
    <t>Energy Consumed (kWh/day)</t>
  </si>
  <si>
    <t>Utility Rate</t>
  </si>
  <si>
    <t>Consumption Behavior</t>
  </si>
  <si>
    <t>Electricity Rate</t>
  </si>
  <si>
    <t>#</t>
  </si>
  <si>
    <t>Install Solar Panel -&gt; Payment -&gt; Weather -&gt; Consumption -&gt; VPP -&gt; Degradation -&gt; Maintenance</t>
  </si>
  <si>
    <t>N/A</t>
  </si>
  <si>
    <t>No</t>
  </si>
  <si>
    <t>Cloudy</t>
  </si>
  <si>
    <t>Pay upfront</t>
  </si>
  <si>
    <t>Install</t>
  </si>
  <si>
    <t>Yes</t>
  </si>
  <si>
    <t>Finance it</t>
  </si>
  <si>
    <t>uitility rate($/kWh)</t>
  </si>
  <si>
    <t>loan</t>
  </si>
  <si>
    <t xml:space="preserve">payment </t>
  </si>
  <si>
    <t>high</t>
  </si>
  <si>
    <t xml:space="preserve">low </t>
  </si>
  <si>
    <t>degradtion</t>
  </si>
  <si>
    <t>low</t>
  </si>
  <si>
    <t xml:space="preserve">high </t>
  </si>
  <si>
    <t xml:space="preserve">maintenance </t>
  </si>
  <si>
    <t>30 Years</t>
  </si>
  <si>
    <t>Yearly</t>
  </si>
  <si>
    <t>Net Cost Savings/Cost (30 Years)</t>
  </si>
  <si>
    <t>Total Net Cost</t>
  </si>
  <si>
    <t>Total Solar Cost</t>
  </si>
  <si>
    <t>Grid Energy Cost</t>
  </si>
  <si>
    <t>Energy Surplus/Deficit (kWh)</t>
  </si>
  <si>
    <t>Energy Produced (kWh/day)</t>
  </si>
  <si>
    <t>Feature Flow</t>
  </si>
  <si>
    <t>Policy</t>
  </si>
  <si>
    <t>Maintenance</t>
  </si>
  <si>
    <t>Degradation</t>
  </si>
  <si>
    <t>Consumption</t>
  </si>
  <si>
    <t>Weather</t>
  </si>
  <si>
    <t>Payment</t>
  </si>
  <si>
    <t>Install Solar Panel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</si>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</sst>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.00001]0.0###%;[=0]0.0%;0.00E+00"/>
    <numFmt numFmtId="165" formatCode="&quot;$&quot;#,##0.00_);[Red]\(&quot;$&quot;#,##0.00\)"/>
    <numFmt numFmtId="16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0" fontId="7" fillId="0" borderId="0" xfId="0" applyFont="1"/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239522</xdr:colOff>
      <xdr:row>276</xdr:row>
      <xdr:rowOff>179071</xdr:rowOff>
    </xdr:from>
    <xdr:to>
      <xdr:col>5</xdr:col>
      <xdr:colOff>127</xdr:colOff>
      <xdr:row>276</xdr:row>
      <xdr:rowOff>179071</xdr:rowOff>
    </xdr:to>
    <xdr:cxnSp macro="_xll.PtreeEvent_ObjectClick">
      <xdr:nvCxnSpPr>
        <xdr:cNvPr id="545" name="PTObj_DBranchHLine_1_135">
          <a:extLst>
            <a:ext uri="{FF2B5EF4-FFF2-40B4-BE49-F238E27FC236}">
              <a16:creationId xmlns:a16="http://schemas.microsoft.com/office/drawing/2014/main" id="{9B365C0C-6811-4F30-1C27-DAD8342C4A51}"/>
            </a:ext>
          </a:extLst>
        </xdr:cNvPr>
        <xdr:cNvCxnSpPr/>
      </xdr:nvCxnSpPr>
      <xdr:spPr>
        <a:xfrm>
          <a:off x="6589522" y="510044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274</xdr:row>
      <xdr:rowOff>173992</xdr:rowOff>
    </xdr:from>
    <xdr:to>
      <xdr:col>4</xdr:col>
      <xdr:colOff>239522</xdr:colOff>
      <xdr:row>276</xdr:row>
      <xdr:rowOff>179071</xdr:rowOff>
    </xdr:to>
    <xdr:cxnSp macro="_xll.PtreeEvent_ObjectClick">
      <xdr:nvCxnSpPr>
        <xdr:cNvPr id="544" name="PTObj_DBranchDLine_1_135">
          <a:extLst>
            <a:ext uri="{FF2B5EF4-FFF2-40B4-BE49-F238E27FC236}">
              <a16:creationId xmlns:a16="http://schemas.microsoft.com/office/drawing/2014/main" id="{BECDB17E-BE60-98C7-1F4F-38C51997C488}"/>
            </a:ext>
          </a:extLst>
        </xdr:cNvPr>
        <xdr:cNvCxnSpPr/>
      </xdr:nvCxnSpPr>
      <xdr:spPr>
        <a:xfrm>
          <a:off x="6437122" y="506310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272</xdr:row>
      <xdr:rowOff>179071</xdr:rowOff>
    </xdr:from>
    <xdr:to>
      <xdr:col>5</xdr:col>
      <xdr:colOff>127</xdr:colOff>
      <xdr:row>272</xdr:row>
      <xdr:rowOff>179071</xdr:rowOff>
    </xdr:to>
    <xdr:cxnSp macro="_xll.PtreeEvent_ObjectClick">
      <xdr:nvCxnSpPr>
        <xdr:cNvPr id="541" name="PTObj_DBranchHLine_1_134">
          <a:extLst>
            <a:ext uri="{FF2B5EF4-FFF2-40B4-BE49-F238E27FC236}">
              <a16:creationId xmlns:a16="http://schemas.microsoft.com/office/drawing/2014/main" id="{00FBEAF7-5580-B891-80DA-82E822D786DC}"/>
            </a:ext>
          </a:extLst>
        </xdr:cNvPr>
        <xdr:cNvCxnSpPr/>
      </xdr:nvCxnSpPr>
      <xdr:spPr>
        <a:xfrm>
          <a:off x="6589522" y="502678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272</xdr:row>
      <xdr:rowOff>179071</xdr:rowOff>
    </xdr:from>
    <xdr:to>
      <xdr:col>4</xdr:col>
      <xdr:colOff>239522</xdr:colOff>
      <xdr:row>274</xdr:row>
      <xdr:rowOff>173992</xdr:rowOff>
    </xdr:to>
    <xdr:cxnSp macro="_xll.PtreeEvent_ObjectClick">
      <xdr:nvCxnSpPr>
        <xdr:cNvPr id="540" name="PTObj_DBranchDLine_1_134">
          <a:extLst>
            <a:ext uri="{FF2B5EF4-FFF2-40B4-BE49-F238E27FC236}">
              <a16:creationId xmlns:a16="http://schemas.microsoft.com/office/drawing/2014/main" id="{DC9EDA77-0ABF-43FE-F9AD-6C226E8D9159}"/>
            </a:ext>
          </a:extLst>
        </xdr:cNvPr>
        <xdr:cNvCxnSpPr/>
      </xdr:nvCxnSpPr>
      <xdr:spPr>
        <a:xfrm flipV="1">
          <a:off x="6437122" y="502678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274</xdr:row>
      <xdr:rowOff>179071</xdr:rowOff>
    </xdr:from>
    <xdr:to>
      <xdr:col>4</xdr:col>
      <xdr:colOff>127</xdr:colOff>
      <xdr:row>274</xdr:row>
      <xdr:rowOff>179071</xdr:rowOff>
    </xdr:to>
    <xdr:cxnSp macro="_xll.PtreeEvent_ObjectClick">
      <xdr:nvCxnSpPr>
        <xdr:cNvPr id="537" name="PTObj_DBranchHLine_1_133">
          <a:extLst>
            <a:ext uri="{FF2B5EF4-FFF2-40B4-BE49-F238E27FC236}">
              <a16:creationId xmlns:a16="http://schemas.microsoft.com/office/drawing/2014/main" id="{7FEE6112-79E3-41E8-8F35-8F0505A6A8F5}"/>
            </a:ext>
          </a:extLst>
        </xdr:cNvPr>
        <xdr:cNvCxnSpPr/>
      </xdr:nvCxnSpPr>
      <xdr:spPr>
        <a:xfrm>
          <a:off x="4157472" y="50636171"/>
          <a:ext cx="219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270</xdr:row>
      <xdr:rowOff>173992</xdr:rowOff>
    </xdr:from>
    <xdr:to>
      <xdr:col>3</xdr:col>
      <xdr:colOff>239522</xdr:colOff>
      <xdr:row>274</xdr:row>
      <xdr:rowOff>179071</xdr:rowOff>
    </xdr:to>
    <xdr:cxnSp macro="_xll.PtreeEvent_ObjectClick">
      <xdr:nvCxnSpPr>
        <xdr:cNvPr id="536" name="PTObj_DBranchDLine_1_133">
          <a:extLst>
            <a:ext uri="{FF2B5EF4-FFF2-40B4-BE49-F238E27FC236}">
              <a16:creationId xmlns:a16="http://schemas.microsoft.com/office/drawing/2014/main" id="{7B802D87-964C-5F5C-C08A-4C73738E8CC2}"/>
            </a:ext>
          </a:extLst>
        </xdr:cNvPr>
        <xdr:cNvCxnSpPr/>
      </xdr:nvCxnSpPr>
      <xdr:spPr>
        <a:xfrm>
          <a:off x="4005072" y="498944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268</xdr:row>
      <xdr:rowOff>179071</xdr:rowOff>
    </xdr:from>
    <xdr:to>
      <xdr:col>5</xdr:col>
      <xdr:colOff>127</xdr:colOff>
      <xdr:row>268</xdr:row>
      <xdr:rowOff>179071</xdr:rowOff>
    </xdr:to>
    <xdr:cxnSp macro="_xll.PtreeEvent_ObjectClick">
      <xdr:nvCxnSpPr>
        <xdr:cNvPr id="533" name="PTObj_DBranchHLine_1_132">
          <a:extLst>
            <a:ext uri="{FF2B5EF4-FFF2-40B4-BE49-F238E27FC236}">
              <a16:creationId xmlns:a16="http://schemas.microsoft.com/office/drawing/2014/main" id="{5C071C7D-A5C2-0DC6-5E16-00E4AB00AB52}"/>
            </a:ext>
          </a:extLst>
        </xdr:cNvPr>
        <xdr:cNvCxnSpPr/>
      </xdr:nvCxnSpPr>
      <xdr:spPr>
        <a:xfrm>
          <a:off x="6589522" y="495312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266</xdr:row>
      <xdr:rowOff>173992</xdr:rowOff>
    </xdr:from>
    <xdr:to>
      <xdr:col>4</xdr:col>
      <xdr:colOff>239522</xdr:colOff>
      <xdr:row>268</xdr:row>
      <xdr:rowOff>179071</xdr:rowOff>
    </xdr:to>
    <xdr:cxnSp macro="_xll.PtreeEvent_ObjectClick">
      <xdr:nvCxnSpPr>
        <xdr:cNvPr id="532" name="PTObj_DBranchDLine_1_132">
          <a:extLst>
            <a:ext uri="{FF2B5EF4-FFF2-40B4-BE49-F238E27FC236}">
              <a16:creationId xmlns:a16="http://schemas.microsoft.com/office/drawing/2014/main" id="{5CFF3F4E-3BF4-5380-15FB-E4EB9C15B766}"/>
            </a:ext>
          </a:extLst>
        </xdr:cNvPr>
        <xdr:cNvCxnSpPr/>
      </xdr:nvCxnSpPr>
      <xdr:spPr>
        <a:xfrm>
          <a:off x="6437122" y="491578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264</xdr:row>
      <xdr:rowOff>179071</xdr:rowOff>
    </xdr:from>
    <xdr:to>
      <xdr:col>5</xdr:col>
      <xdr:colOff>127</xdr:colOff>
      <xdr:row>264</xdr:row>
      <xdr:rowOff>179071</xdr:rowOff>
    </xdr:to>
    <xdr:cxnSp macro="_xll.PtreeEvent_ObjectClick">
      <xdr:nvCxnSpPr>
        <xdr:cNvPr id="529" name="PTObj_DBranchHLine_1_131">
          <a:extLst>
            <a:ext uri="{FF2B5EF4-FFF2-40B4-BE49-F238E27FC236}">
              <a16:creationId xmlns:a16="http://schemas.microsoft.com/office/drawing/2014/main" id="{021A7F67-8241-CF2D-235C-6EA05DF575EB}"/>
            </a:ext>
          </a:extLst>
        </xdr:cNvPr>
        <xdr:cNvCxnSpPr/>
      </xdr:nvCxnSpPr>
      <xdr:spPr>
        <a:xfrm>
          <a:off x="6589522" y="487946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264</xdr:row>
      <xdr:rowOff>179071</xdr:rowOff>
    </xdr:from>
    <xdr:to>
      <xdr:col>4</xdr:col>
      <xdr:colOff>239522</xdr:colOff>
      <xdr:row>266</xdr:row>
      <xdr:rowOff>173992</xdr:rowOff>
    </xdr:to>
    <xdr:cxnSp macro="_xll.PtreeEvent_ObjectClick">
      <xdr:nvCxnSpPr>
        <xdr:cNvPr id="528" name="PTObj_DBranchDLine_1_131">
          <a:extLst>
            <a:ext uri="{FF2B5EF4-FFF2-40B4-BE49-F238E27FC236}">
              <a16:creationId xmlns:a16="http://schemas.microsoft.com/office/drawing/2014/main" id="{94702243-F23B-E454-926A-5E3D0C05EA97}"/>
            </a:ext>
          </a:extLst>
        </xdr:cNvPr>
        <xdr:cNvCxnSpPr/>
      </xdr:nvCxnSpPr>
      <xdr:spPr>
        <a:xfrm flipV="1">
          <a:off x="6437122" y="487946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266</xdr:row>
      <xdr:rowOff>179071</xdr:rowOff>
    </xdr:from>
    <xdr:to>
      <xdr:col>4</xdr:col>
      <xdr:colOff>127</xdr:colOff>
      <xdr:row>266</xdr:row>
      <xdr:rowOff>179071</xdr:rowOff>
    </xdr:to>
    <xdr:cxnSp macro="_xll.PtreeEvent_ObjectClick">
      <xdr:nvCxnSpPr>
        <xdr:cNvPr id="525" name="PTObj_DBranchHLine_1_130">
          <a:extLst>
            <a:ext uri="{FF2B5EF4-FFF2-40B4-BE49-F238E27FC236}">
              <a16:creationId xmlns:a16="http://schemas.microsoft.com/office/drawing/2014/main" id="{EAB5D543-593D-7DB1-780B-5B418372D105}"/>
            </a:ext>
          </a:extLst>
        </xdr:cNvPr>
        <xdr:cNvCxnSpPr/>
      </xdr:nvCxnSpPr>
      <xdr:spPr>
        <a:xfrm>
          <a:off x="4157472" y="49162971"/>
          <a:ext cx="219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266</xdr:row>
      <xdr:rowOff>179071</xdr:rowOff>
    </xdr:from>
    <xdr:to>
      <xdr:col>3</xdr:col>
      <xdr:colOff>239522</xdr:colOff>
      <xdr:row>270</xdr:row>
      <xdr:rowOff>173992</xdr:rowOff>
    </xdr:to>
    <xdr:cxnSp macro="_xll.PtreeEvent_ObjectClick">
      <xdr:nvCxnSpPr>
        <xdr:cNvPr id="524" name="PTObj_DBranchDLine_1_130">
          <a:extLst>
            <a:ext uri="{FF2B5EF4-FFF2-40B4-BE49-F238E27FC236}">
              <a16:creationId xmlns:a16="http://schemas.microsoft.com/office/drawing/2014/main" id="{E7A5F406-6D83-0AAF-F199-B20CAE4012BD}"/>
            </a:ext>
          </a:extLst>
        </xdr:cNvPr>
        <xdr:cNvCxnSpPr/>
      </xdr:nvCxnSpPr>
      <xdr:spPr>
        <a:xfrm flipV="1">
          <a:off x="4005072" y="491629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270</xdr:row>
      <xdr:rowOff>179071</xdr:rowOff>
    </xdr:from>
    <xdr:to>
      <xdr:col>3</xdr:col>
      <xdr:colOff>127</xdr:colOff>
      <xdr:row>270</xdr:row>
      <xdr:rowOff>179071</xdr:rowOff>
    </xdr:to>
    <xdr:cxnSp macro="_xll.PtreeEvent_ObjectClick">
      <xdr:nvCxnSpPr>
        <xdr:cNvPr id="521" name="PTObj_DBranchHLine_1_129">
          <a:extLst>
            <a:ext uri="{FF2B5EF4-FFF2-40B4-BE49-F238E27FC236}">
              <a16:creationId xmlns:a16="http://schemas.microsoft.com/office/drawing/2014/main" id="{9299EED5-99C5-8DA9-9906-B8C21DC60E71}"/>
            </a:ext>
          </a:extLst>
        </xdr:cNvPr>
        <xdr:cNvCxnSpPr/>
      </xdr:nvCxnSpPr>
      <xdr:spPr>
        <a:xfrm>
          <a:off x="2011172" y="49899571"/>
          <a:ext cx="1906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262</xdr:row>
      <xdr:rowOff>173992</xdr:rowOff>
    </xdr:from>
    <xdr:to>
      <xdr:col>2</xdr:col>
      <xdr:colOff>239522</xdr:colOff>
      <xdr:row>270</xdr:row>
      <xdr:rowOff>179071</xdr:rowOff>
    </xdr:to>
    <xdr:cxnSp macro="_xll.PtreeEvent_ObjectClick">
      <xdr:nvCxnSpPr>
        <xdr:cNvPr id="520" name="PTObj_DBranchDLine_1_129">
          <a:extLst>
            <a:ext uri="{FF2B5EF4-FFF2-40B4-BE49-F238E27FC236}">
              <a16:creationId xmlns:a16="http://schemas.microsoft.com/office/drawing/2014/main" id="{F9D5AA49-8BCF-2D9C-488F-E9BBEA70F2AA}"/>
            </a:ext>
          </a:extLst>
        </xdr:cNvPr>
        <xdr:cNvCxnSpPr/>
      </xdr:nvCxnSpPr>
      <xdr:spPr>
        <a:xfrm>
          <a:off x="1858772" y="484212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260</xdr:row>
      <xdr:rowOff>179071</xdr:rowOff>
    </xdr:from>
    <xdr:to>
      <xdr:col>9</xdr:col>
      <xdr:colOff>127</xdr:colOff>
      <xdr:row>260</xdr:row>
      <xdr:rowOff>179071</xdr:rowOff>
    </xdr:to>
    <xdr:cxnSp macro="_xll.PtreeEvent_ObjectClick">
      <xdr:nvCxnSpPr>
        <xdr:cNvPr id="517" name="PTObj_DBranchHLine_1_128">
          <a:extLst>
            <a:ext uri="{FF2B5EF4-FFF2-40B4-BE49-F238E27FC236}">
              <a16:creationId xmlns:a16="http://schemas.microsoft.com/office/drawing/2014/main" id="{4FDE4A2B-39EB-978F-15D2-062E35104640}"/>
            </a:ext>
          </a:extLst>
        </xdr:cNvPr>
        <xdr:cNvCxnSpPr/>
      </xdr:nvCxnSpPr>
      <xdr:spPr>
        <a:xfrm>
          <a:off x="14438122" y="48058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258</xdr:row>
      <xdr:rowOff>173992</xdr:rowOff>
    </xdr:from>
    <xdr:to>
      <xdr:col>8</xdr:col>
      <xdr:colOff>239522</xdr:colOff>
      <xdr:row>260</xdr:row>
      <xdr:rowOff>179071</xdr:rowOff>
    </xdr:to>
    <xdr:cxnSp macro="_xll.PtreeEvent_ObjectClick">
      <xdr:nvCxnSpPr>
        <xdr:cNvPr id="516" name="PTObj_DBranchDLine_1_128">
          <a:extLst>
            <a:ext uri="{FF2B5EF4-FFF2-40B4-BE49-F238E27FC236}">
              <a16:creationId xmlns:a16="http://schemas.microsoft.com/office/drawing/2014/main" id="{62B93549-D601-E29B-3A12-E0449B8E12CA}"/>
            </a:ext>
          </a:extLst>
        </xdr:cNvPr>
        <xdr:cNvCxnSpPr/>
      </xdr:nvCxnSpPr>
      <xdr:spPr>
        <a:xfrm>
          <a:off x="14285722" y="476846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256</xdr:row>
      <xdr:rowOff>179071</xdr:rowOff>
    </xdr:from>
    <xdr:to>
      <xdr:col>9</xdr:col>
      <xdr:colOff>127</xdr:colOff>
      <xdr:row>256</xdr:row>
      <xdr:rowOff>179071</xdr:rowOff>
    </xdr:to>
    <xdr:cxnSp macro="_xll.PtreeEvent_ObjectClick">
      <xdr:nvCxnSpPr>
        <xdr:cNvPr id="513" name="PTObj_DBranchHLine_1_127">
          <a:extLst>
            <a:ext uri="{FF2B5EF4-FFF2-40B4-BE49-F238E27FC236}">
              <a16:creationId xmlns:a16="http://schemas.microsoft.com/office/drawing/2014/main" id="{33898FFA-0F13-92AF-8761-C53C55D28916}"/>
            </a:ext>
          </a:extLst>
        </xdr:cNvPr>
        <xdr:cNvCxnSpPr/>
      </xdr:nvCxnSpPr>
      <xdr:spPr>
        <a:xfrm>
          <a:off x="14438122" y="47321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256</xdr:row>
      <xdr:rowOff>179071</xdr:rowOff>
    </xdr:from>
    <xdr:to>
      <xdr:col>8</xdr:col>
      <xdr:colOff>239522</xdr:colOff>
      <xdr:row>258</xdr:row>
      <xdr:rowOff>173992</xdr:rowOff>
    </xdr:to>
    <xdr:cxnSp macro="_xll.PtreeEvent_ObjectClick">
      <xdr:nvCxnSpPr>
        <xdr:cNvPr id="512" name="PTObj_DBranchDLine_1_127">
          <a:extLst>
            <a:ext uri="{FF2B5EF4-FFF2-40B4-BE49-F238E27FC236}">
              <a16:creationId xmlns:a16="http://schemas.microsoft.com/office/drawing/2014/main" id="{B498EF11-A855-CBD2-C52C-AEFCF7F97E0C}"/>
            </a:ext>
          </a:extLst>
        </xdr:cNvPr>
        <xdr:cNvCxnSpPr/>
      </xdr:nvCxnSpPr>
      <xdr:spPr>
        <a:xfrm flipV="1">
          <a:off x="14285722" y="473214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258</xdr:row>
      <xdr:rowOff>179071</xdr:rowOff>
    </xdr:from>
    <xdr:to>
      <xdr:col>8</xdr:col>
      <xdr:colOff>127</xdr:colOff>
      <xdr:row>258</xdr:row>
      <xdr:rowOff>179071</xdr:rowOff>
    </xdr:to>
    <xdr:cxnSp macro="_xll.PtreeEvent_ObjectClick">
      <xdr:nvCxnSpPr>
        <xdr:cNvPr id="509" name="PTObj_DBranchHLine_1_126">
          <a:extLst>
            <a:ext uri="{FF2B5EF4-FFF2-40B4-BE49-F238E27FC236}">
              <a16:creationId xmlns:a16="http://schemas.microsoft.com/office/drawing/2014/main" id="{ED85C6F9-C1A0-310E-D39B-34A12300A00A}"/>
            </a:ext>
          </a:extLst>
        </xdr:cNvPr>
        <xdr:cNvCxnSpPr/>
      </xdr:nvCxnSpPr>
      <xdr:spPr>
        <a:xfrm>
          <a:off x="12749022" y="476897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254</xdr:row>
      <xdr:rowOff>173992</xdr:rowOff>
    </xdr:from>
    <xdr:to>
      <xdr:col>7</xdr:col>
      <xdr:colOff>239522</xdr:colOff>
      <xdr:row>258</xdr:row>
      <xdr:rowOff>179071</xdr:rowOff>
    </xdr:to>
    <xdr:cxnSp macro="_xll.PtreeEvent_ObjectClick">
      <xdr:nvCxnSpPr>
        <xdr:cNvPr id="508" name="PTObj_DBranchDLine_1_126">
          <a:extLst>
            <a:ext uri="{FF2B5EF4-FFF2-40B4-BE49-F238E27FC236}">
              <a16:creationId xmlns:a16="http://schemas.microsoft.com/office/drawing/2014/main" id="{DF51A3FD-9552-CC41-431B-FA04BE09B813}"/>
            </a:ext>
          </a:extLst>
        </xdr:cNvPr>
        <xdr:cNvCxnSpPr/>
      </xdr:nvCxnSpPr>
      <xdr:spPr>
        <a:xfrm>
          <a:off x="12596622" y="469480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252</xdr:row>
      <xdr:rowOff>179071</xdr:rowOff>
    </xdr:from>
    <xdr:to>
      <xdr:col>9</xdr:col>
      <xdr:colOff>127</xdr:colOff>
      <xdr:row>252</xdr:row>
      <xdr:rowOff>179071</xdr:rowOff>
    </xdr:to>
    <xdr:cxnSp macro="_xll.PtreeEvent_ObjectClick">
      <xdr:nvCxnSpPr>
        <xdr:cNvPr id="505" name="PTObj_DBranchHLine_1_125">
          <a:extLst>
            <a:ext uri="{FF2B5EF4-FFF2-40B4-BE49-F238E27FC236}">
              <a16:creationId xmlns:a16="http://schemas.microsoft.com/office/drawing/2014/main" id="{FAA0E82B-9635-3947-E8F9-3DFDAAD5A384}"/>
            </a:ext>
          </a:extLst>
        </xdr:cNvPr>
        <xdr:cNvCxnSpPr/>
      </xdr:nvCxnSpPr>
      <xdr:spPr>
        <a:xfrm>
          <a:off x="14438122" y="46584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250</xdr:row>
      <xdr:rowOff>173992</xdr:rowOff>
    </xdr:from>
    <xdr:to>
      <xdr:col>8</xdr:col>
      <xdr:colOff>239522</xdr:colOff>
      <xdr:row>252</xdr:row>
      <xdr:rowOff>179071</xdr:rowOff>
    </xdr:to>
    <xdr:cxnSp macro="_xll.PtreeEvent_ObjectClick">
      <xdr:nvCxnSpPr>
        <xdr:cNvPr id="504" name="PTObj_DBranchDLine_1_125">
          <a:extLst>
            <a:ext uri="{FF2B5EF4-FFF2-40B4-BE49-F238E27FC236}">
              <a16:creationId xmlns:a16="http://schemas.microsoft.com/office/drawing/2014/main" id="{F1EC8908-9AB0-8888-E0D1-BF217575E16F}"/>
            </a:ext>
          </a:extLst>
        </xdr:cNvPr>
        <xdr:cNvCxnSpPr/>
      </xdr:nvCxnSpPr>
      <xdr:spPr>
        <a:xfrm>
          <a:off x="14285722" y="462114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248</xdr:row>
      <xdr:rowOff>179071</xdr:rowOff>
    </xdr:from>
    <xdr:to>
      <xdr:col>9</xdr:col>
      <xdr:colOff>127</xdr:colOff>
      <xdr:row>248</xdr:row>
      <xdr:rowOff>179071</xdr:rowOff>
    </xdr:to>
    <xdr:cxnSp macro="_xll.PtreeEvent_ObjectClick">
      <xdr:nvCxnSpPr>
        <xdr:cNvPr id="501" name="PTObj_DBranchHLine_1_124">
          <a:extLst>
            <a:ext uri="{FF2B5EF4-FFF2-40B4-BE49-F238E27FC236}">
              <a16:creationId xmlns:a16="http://schemas.microsoft.com/office/drawing/2014/main" id="{A775D5E6-EF29-2C12-8B26-3902F10D2026}"/>
            </a:ext>
          </a:extLst>
        </xdr:cNvPr>
        <xdr:cNvCxnSpPr/>
      </xdr:nvCxnSpPr>
      <xdr:spPr>
        <a:xfrm>
          <a:off x="14438122" y="45848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248</xdr:row>
      <xdr:rowOff>179071</xdr:rowOff>
    </xdr:from>
    <xdr:to>
      <xdr:col>8</xdr:col>
      <xdr:colOff>239522</xdr:colOff>
      <xdr:row>250</xdr:row>
      <xdr:rowOff>173992</xdr:rowOff>
    </xdr:to>
    <xdr:cxnSp macro="_xll.PtreeEvent_ObjectClick">
      <xdr:nvCxnSpPr>
        <xdr:cNvPr id="500" name="PTObj_DBranchDLine_1_124">
          <a:extLst>
            <a:ext uri="{FF2B5EF4-FFF2-40B4-BE49-F238E27FC236}">
              <a16:creationId xmlns:a16="http://schemas.microsoft.com/office/drawing/2014/main" id="{A04117D6-8B11-BE0B-CB16-BC16F0557EAD}"/>
            </a:ext>
          </a:extLst>
        </xdr:cNvPr>
        <xdr:cNvCxnSpPr/>
      </xdr:nvCxnSpPr>
      <xdr:spPr>
        <a:xfrm flipV="1">
          <a:off x="14285722" y="458482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250</xdr:row>
      <xdr:rowOff>179071</xdr:rowOff>
    </xdr:from>
    <xdr:to>
      <xdr:col>8</xdr:col>
      <xdr:colOff>127</xdr:colOff>
      <xdr:row>250</xdr:row>
      <xdr:rowOff>179071</xdr:rowOff>
    </xdr:to>
    <xdr:cxnSp macro="_xll.PtreeEvent_ObjectClick">
      <xdr:nvCxnSpPr>
        <xdr:cNvPr id="497" name="PTObj_DBranchHLine_1_123">
          <a:extLst>
            <a:ext uri="{FF2B5EF4-FFF2-40B4-BE49-F238E27FC236}">
              <a16:creationId xmlns:a16="http://schemas.microsoft.com/office/drawing/2014/main" id="{FDE334F8-AC7E-5AEB-CDF8-4B1715342E94}"/>
            </a:ext>
          </a:extLst>
        </xdr:cNvPr>
        <xdr:cNvCxnSpPr/>
      </xdr:nvCxnSpPr>
      <xdr:spPr>
        <a:xfrm>
          <a:off x="12749022" y="462165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250</xdr:row>
      <xdr:rowOff>179071</xdr:rowOff>
    </xdr:from>
    <xdr:to>
      <xdr:col>7</xdr:col>
      <xdr:colOff>239522</xdr:colOff>
      <xdr:row>254</xdr:row>
      <xdr:rowOff>173992</xdr:rowOff>
    </xdr:to>
    <xdr:cxnSp macro="_xll.PtreeEvent_ObjectClick">
      <xdr:nvCxnSpPr>
        <xdr:cNvPr id="496" name="PTObj_DBranchDLine_1_123">
          <a:extLst>
            <a:ext uri="{FF2B5EF4-FFF2-40B4-BE49-F238E27FC236}">
              <a16:creationId xmlns:a16="http://schemas.microsoft.com/office/drawing/2014/main" id="{E15E1875-D2E9-C14B-CCE8-C4689F4E5A1E}"/>
            </a:ext>
          </a:extLst>
        </xdr:cNvPr>
        <xdr:cNvCxnSpPr/>
      </xdr:nvCxnSpPr>
      <xdr:spPr>
        <a:xfrm flipV="1">
          <a:off x="12596622" y="462165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254</xdr:row>
      <xdr:rowOff>179071</xdr:rowOff>
    </xdr:from>
    <xdr:to>
      <xdr:col>7</xdr:col>
      <xdr:colOff>127</xdr:colOff>
      <xdr:row>254</xdr:row>
      <xdr:rowOff>179071</xdr:rowOff>
    </xdr:to>
    <xdr:cxnSp macro="_xll.PtreeEvent_ObjectClick">
      <xdr:nvCxnSpPr>
        <xdr:cNvPr id="493" name="PTObj_DBranchHLine_1_122">
          <a:extLst>
            <a:ext uri="{FF2B5EF4-FFF2-40B4-BE49-F238E27FC236}">
              <a16:creationId xmlns:a16="http://schemas.microsoft.com/office/drawing/2014/main" id="{7A1B5DCC-45F2-BFE7-E9D0-E07777CA361C}"/>
            </a:ext>
          </a:extLst>
        </xdr:cNvPr>
        <xdr:cNvCxnSpPr/>
      </xdr:nvCxnSpPr>
      <xdr:spPr>
        <a:xfrm>
          <a:off x="11142472" y="469531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246</xdr:row>
      <xdr:rowOff>173992</xdr:rowOff>
    </xdr:from>
    <xdr:to>
      <xdr:col>6</xdr:col>
      <xdr:colOff>239522</xdr:colOff>
      <xdr:row>254</xdr:row>
      <xdr:rowOff>179071</xdr:rowOff>
    </xdr:to>
    <xdr:cxnSp macro="_xll.PtreeEvent_ObjectClick">
      <xdr:nvCxnSpPr>
        <xdr:cNvPr id="492" name="PTObj_DBranchDLine_1_122">
          <a:extLst>
            <a:ext uri="{FF2B5EF4-FFF2-40B4-BE49-F238E27FC236}">
              <a16:creationId xmlns:a16="http://schemas.microsoft.com/office/drawing/2014/main" id="{9DBEBB9F-D03D-DF3B-EDD0-385C83275C15}"/>
            </a:ext>
          </a:extLst>
        </xdr:cNvPr>
        <xdr:cNvCxnSpPr/>
      </xdr:nvCxnSpPr>
      <xdr:spPr>
        <a:xfrm>
          <a:off x="10990072" y="454748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244</xdr:row>
      <xdr:rowOff>179071</xdr:rowOff>
    </xdr:from>
    <xdr:to>
      <xdr:col>9</xdr:col>
      <xdr:colOff>127</xdr:colOff>
      <xdr:row>244</xdr:row>
      <xdr:rowOff>179071</xdr:rowOff>
    </xdr:to>
    <xdr:cxnSp macro="_xll.PtreeEvent_ObjectClick">
      <xdr:nvCxnSpPr>
        <xdr:cNvPr id="489" name="PTObj_DBranchHLine_1_121">
          <a:extLst>
            <a:ext uri="{FF2B5EF4-FFF2-40B4-BE49-F238E27FC236}">
              <a16:creationId xmlns:a16="http://schemas.microsoft.com/office/drawing/2014/main" id="{265F1065-2BBB-CC5B-5490-BE6FE8854E8B}"/>
            </a:ext>
          </a:extLst>
        </xdr:cNvPr>
        <xdr:cNvCxnSpPr/>
      </xdr:nvCxnSpPr>
      <xdr:spPr>
        <a:xfrm>
          <a:off x="14438122" y="45111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242</xdr:row>
      <xdr:rowOff>173992</xdr:rowOff>
    </xdr:from>
    <xdr:to>
      <xdr:col>8</xdr:col>
      <xdr:colOff>239522</xdr:colOff>
      <xdr:row>244</xdr:row>
      <xdr:rowOff>179071</xdr:rowOff>
    </xdr:to>
    <xdr:cxnSp macro="_xll.PtreeEvent_ObjectClick">
      <xdr:nvCxnSpPr>
        <xdr:cNvPr id="488" name="PTObj_DBranchDLine_1_121">
          <a:extLst>
            <a:ext uri="{FF2B5EF4-FFF2-40B4-BE49-F238E27FC236}">
              <a16:creationId xmlns:a16="http://schemas.microsoft.com/office/drawing/2014/main" id="{BA64B811-0793-82AA-BD6F-C31D5E289C21}"/>
            </a:ext>
          </a:extLst>
        </xdr:cNvPr>
        <xdr:cNvCxnSpPr/>
      </xdr:nvCxnSpPr>
      <xdr:spPr>
        <a:xfrm>
          <a:off x="14285722" y="447382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240</xdr:row>
      <xdr:rowOff>179071</xdr:rowOff>
    </xdr:from>
    <xdr:to>
      <xdr:col>9</xdr:col>
      <xdr:colOff>127</xdr:colOff>
      <xdr:row>240</xdr:row>
      <xdr:rowOff>179071</xdr:rowOff>
    </xdr:to>
    <xdr:cxnSp macro="_xll.PtreeEvent_ObjectClick">
      <xdr:nvCxnSpPr>
        <xdr:cNvPr id="485" name="PTObj_DBranchHLine_1_120">
          <a:extLst>
            <a:ext uri="{FF2B5EF4-FFF2-40B4-BE49-F238E27FC236}">
              <a16:creationId xmlns:a16="http://schemas.microsoft.com/office/drawing/2014/main" id="{6BBE8A7D-6C73-DFAE-4A15-64D3AC7DA6E9}"/>
            </a:ext>
          </a:extLst>
        </xdr:cNvPr>
        <xdr:cNvCxnSpPr/>
      </xdr:nvCxnSpPr>
      <xdr:spPr>
        <a:xfrm>
          <a:off x="14438122" y="44375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240</xdr:row>
      <xdr:rowOff>179071</xdr:rowOff>
    </xdr:from>
    <xdr:to>
      <xdr:col>8</xdr:col>
      <xdr:colOff>239522</xdr:colOff>
      <xdr:row>242</xdr:row>
      <xdr:rowOff>173992</xdr:rowOff>
    </xdr:to>
    <xdr:cxnSp macro="_xll.PtreeEvent_ObjectClick">
      <xdr:nvCxnSpPr>
        <xdr:cNvPr id="484" name="PTObj_DBranchDLine_1_120">
          <a:extLst>
            <a:ext uri="{FF2B5EF4-FFF2-40B4-BE49-F238E27FC236}">
              <a16:creationId xmlns:a16="http://schemas.microsoft.com/office/drawing/2014/main" id="{2280E997-AFF5-C18D-C064-793F299A05F4}"/>
            </a:ext>
          </a:extLst>
        </xdr:cNvPr>
        <xdr:cNvCxnSpPr/>
      </xdr:nvCxnSpPr>
      <xdr:spPr>
        <a:xfrm flipV="1">
          <a:off x="14285722" y="443750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242</xdr:row>
      <xdr:rowOff>179071</xdr:rowOff>
    </xdr:from>
    <xdr:to>
      <xdr:col>8</xdr:col>
      <xdr:colOff>127</xdr:colOff>
      <xdr:row>242</xdr:row>
      <xdr:rowOff>179071</xdr:rowOff>
    </xdr:to>
    <xdr:cxnSp macro="_xll.PtreeEvent_ObjectClick">
      <xdr:nvCxnSpPr>
        <xdr:cNvPr id="481" name="PTObj_DBranchHLine_1_119">
          <a:extLst>
            <a:ext uri="{FF2B5EF4-FFF2-40B4-BE49-F238E27FC236}">
              <a16:creationId xmlns:a16="http://schemas.microsoft.com/office/drawing/2014/main" id="{FFD1A0B9-3E98-EF4D-452D-5347F25AD415}"/>
            </a:ext>
          </a:extLst>
        </xdr:cNvPr>
        <xdr:cNvCxnSpPr/>
      </xdr:nvCxnSpPr>
      <xdr:spPr>
        <a:xfrm>
          <a:off x="12749022" y="447433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238</xdr:row>
      <xdr:rowOff>173992</xdr:rowOff>
    </xdr:from>
    <xdr:to>
      <xdr:col>7</xdr:col>
      <xdr:colOff>239522</xdr:colOff>
      <xdr:row>242</xdr:row>
      <xdr:rowOff>179071</xdr:rowOff>
    </xdr:to>
    <xdr:cxnSp macro="_xll.PtreeEvent_ObjectClick">
      <xdr:nvCxnSpPr>
        <xdr:cNvPr id="480" name="PTObj_DBranchDLine_1_119">
          <a:extLst>
            <a:ext uri="{FF2B5EF4-FFF2-40B4-BE49-F238E27FC236}">
              <a16:creationId xmlns:a16="http://schemas.microsoft.com/office/drawing/2014/main" id="{183F6827-6551-BCB0-DC4A-50E1C6638AC6}"/>
            </a:ext>
          </a:extLst>
        </xdr:cNvPr>
        <xdr:cNvCxnSpPr/>
      </xdr:nvCxnSpPr>
      <xdr:spPr>
        <a:xfrm>
          <a:off x="12596622" y="440016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236</xdr:row>
      <xdr:rowOff>179071</xdr:rowOff>
    </xdr:from>
    <xdr:to>
      <xdr:col>9</xdr:col>
      <xdr:colOff>127</xdr:colOff>
      <xdr:row>236</xdr:row>
      <xdr:rowOff>179071</xdr:rowOff>
    </xdr:to>
    <xdr:cxnSp macro="_xll.PtreeEvent_ObjectClick">
      <xdr:nvCxnSpPr>
        <xdr:cNvPr id="477" name="PTObj_DBranchHLine_1_118">
          <a:extLst>
            <a:ext uri="{FF2B5EF4-FFF2-40B4-BE49-F238E27FC236}">
              <a16:creationId xmlns:a16="http://schemas.microsoft.com/office/drawing/2014/main" id="{8173D960-B680-0E62-DFAB-92E8923DE5D2}"/>
            </a:ext>
          </a:extLst>
        </xdr:cNvPr>
        <xdr:cNvCxnSpPr/>
      </xdr:nvCxnSpPr>
      <xdr:spPr>
        <a:xfrm>
          <a:off x="14438122" y="43638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234</xdr:row>
      <xdr:rowOff>173992</xdr:rowOff>
    </xdr:from>
    <xdr:to>
      <xdr:col>8</xdr:col>
      <xdr:colOff>239522</xdr:colOff>
      <xdr:row>236</xdr:row>
      <xdr:rowOff>179071</xdr:rowOff>
    </xdr:to>
    <xdr:cxnSp macro="_xll.PtreeEvent_ObjectClick">
      <xdr:nvCxnSpPr>
        <xdr:cNvPr id="476" name="PTObj_DBranchDLine_1_118">
          <a:extLst>
            <a:ext uri="{FF2B5EF4-FFF2-40B4-BE49-F238E27FC236}">
              <a16:creationId xmlns:a16="http://schemas.microsoft.com/office/drawing/2014/main" id="{572AF6AE-5414-AD21-30B9-7EE9813224AA}"/>
            </a:ext>
          </a:extLst>
        </xdr:cNvPr>
        <xdr:cNvCxnSpPr/>
      </xdr:nvCxnSpPr>
      <xdr:spPr>
        <a:xfrm>
          <a:off x="14285722" y="432650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232</xdr:row>
      <xdr:rowOff>179071</xdr:rowOff>
    </xdr:from>
    <xdr:to>
      <xdr:col>9</xdr:col>
      <xdr:colOff>127</xdr:colOff>
      <xdr:row>232</xdr:row>
      <xdr:rowOff>179071</xdr:rowOff>
    </xdr:to>
    <xdr:cxnSp macro="_xll.PtreeEvent_ObjectClick">
      <xdr:nvCxnSpPr>
        <xdr:cNvPr id="473" name="PTObj_DBranchHLine_1_117">
          <a:extLst>
            <a:ext uri="{FF2B5EF4-FFF2-40B4-BE49-F238E27FC236}">
              <a16:creationId xmlns:a16="http://schemas.microsoft.com/office/drawing/2014/main" id="{0786E8FB-4EC2-CF25-600C-FE173181704E}"/>
            </a:ext>
          </a:extLst>
        </xdr:cNvPr>
        <xdr:cNvCxnSpPr/>
      </xdr:nvCxnSpPr>
      <xdr:spPr>
        <a:xfrm>
          <a:off x="14438122" y="42901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232</xdr:row>
      <xdr:rowOff>179071</xdr:rowOff>
    </xdr:from>
    <xdr:to>
      <xdr:col>8</xdr:col>
      <xdr:colOff>239522</xdr:colOff>
      <xdr:row>234</xdr:row>
      <xdr:rowOff>173992</xdr:rowOff>
    </xdr:to>
    <xdr:cxnSp macro="_xll.PtreeEvent_ObjectClick">
      <xdr:nvCxnSpPr>
        <xdr:cNvPr id="472" name="PTObj_DBranchDLine_1_117">
          <a:extLst>
            <a:ext uri="{FF2B5EF4-FFF2-40B4-BE49-F238E27FC236}">
              <a16:creationId xmlns:a16="http://schemas.microsoft.com/office/drawing/2014/main" id="{1FCD04A2-B3A8-DAC1-D09D-1141A348DE28}"/>
            </a:ext>
          </a:extLst>
        </xdr:cNvPr>
        <xdr:cNvCxnSpPr/>
      </xdr:nvCxnSpPr>
      <xdr:spPr>
        <a:xfrm flipV="1">
          <a:off x="14285722" y="429018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234</xdr:row>
      <xdr:rowOff>179071</xdr:rowOff>
    </xdr:from>
    <xdr:to>
      <xdr:col>8</xdr:col>
      <xdr:colOff>127</xdr:colOff>
      <xdr:row>234</xdr:row>
      <xdr:rowOff>179071</xdr:rowOff>
    </xdr:to>
    <xdr:cxnSp macro="_xll.PtreeEvent_ObjectClick">
      <xdr:nvCxnSpPr>
        <xdr:cNvPr id="469" name="PTObj_DBranchHLine_1_116">
          <a:extLst>
            <a:ext uri="{FF2B5EF4-FFF2-40B4-BE49-F238E27FC236}">
              <a16:creationId xmlns:a16="http://schemas.microsoft.com/office/drawing/2014/main" id="{E4F30391-84C9-C69E-1537-6525429F9F82}"/>
            </a:ext>
          </a:extLst>
        </xdr:cNvPr>
        <xdr:cNvCxnSpPr/>
      </xdr:nvCxnSpPr>
      <xdr:spPr>
        <a:xfrm>
          <a:off x="12749022" y="432701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234</xdr:row>
      <xdr:rowOff>179071</xdr:rowOff>
    </xdr:from>
    <xdr:to>
      <xdr:col>7</xdr:col>
      <xdr:colOff>239522</xdr:colOff>
      <xdr:row>238</xdr:row>
      <xdr:rowOff>173992</xdr:rowOff>
    </xdr:to>
    <xdr:cxnSp macro="_xll.PtreeEvent_ObjectClick">
      <xdr:nvCxnSpPr>
        <xdr:cNvPr id="468" name="PTObj_DBranchDLine_1_116">
          <a:extLst>
            <a:ext uri="{FF2B5EF4-FFF2-40B4-BE49-F238E27FC236}">
              <a16:creationId xmlns:a16="http://schemas.microsoft.com/office/drawing/2014/main" id="{D534A7E2-2F4C-3627-7FFF-E5570785ED2D}"/>
            </a:ext>
          </a:extLst>
        </xdr:cNvPr>
        <xdr:cNvCxnSpPr/>
      </xdr:nvCxnSpPr>
      <xdr:spPr>
        <a:xfrm flipV="1">
          <a:off x="12596622" y="432701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238</xdr:row>
      <xdr:rowOff>179071</xdr:rowOff>
    </xdr:from>
    <xdr:to>
      <xdr:col>7</xdr:col>
      <xdr:colOff>127</xdr:colOff>
      <xdr:row>238</xdr:row>
      <xdr:rowOff>179071</xdr:rowOff>
    </xdr:to>
    <xdr:cxnSp macro="_xll.PtreeEvent_ObjectClick">
      <xdr:nvCxnSpPr>
        <xdr:cNvPr id="465" name="PTObj_DBranchHLine_1_115">
          <a:extLst>
            <a:ext uri="{FF2B5EF4-FFF2-40B4-BE49-F238E27FC236}">
              <a16:creationId xmlns:a16="http://schemas.microsoft.com/office/drawing/2014/main" id="{90B22D7C-D20E-AE73-041A-F7B2E37E4028}"/>
            </a:ext>
          </a:extLst>
        </xdr:cNvPr>
        <xdr:cNvCxnSpPr/>
      </xdr:nvCxnSpPr>
      <xdr:spPr>
        <a:xfrm>
          <a:off x="11142472" y="440067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238</xdr:row>
      <xdr:rowOff>179071</xdr:rowOff>
    </xdr:from>
    <xdr:to>
      <xdr:col>6</xdr:col>
      <xdr:colOff>239522</xdr:colOff>
      <xdr:row>246</xdr:row>
      <xdr:rowOff>173992</xdr:rowOff>
    </xdr:to>
    <xdr:cxnSp macro="_xll.PtreeEvent_ObjectClick">
      <xdr:nvCxnSpPr>
        <xdr:cNvPr id="464" name="PTObj_DBranchDLine_1_115">
          <a:extLst>
            <a:ext uri="{FF2B5EF4-FFF2-40B4-BE49-F238E27FC236}">
              <a16:creationId xmlns:a16="http://schemas.microsoft.com/office/drawing/2014/main" id="{585BF3AB-DCCB-AC07-980A-93BC0AA88B81}"/>
            </a:ext>
          </a:extLst>
        </xdr:cNvPr>
        <xdr:cNvCxnSpPr/>
      </xdr:nvCxnSpPr>
      <xdr:spPr>
        <a:xfrm flipV="1">
          <a:off x="10990072" y="44006771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246</xdr:row>
      <xdr:rowOff>179071</xdr:rowOff>
    </xdr:from>
    <xdr:to>
      <xdr:col>6</xdr:col>
      <xdr:colOff>127</xdr:colOff>
      <xdr:row>246</xdr:row>
      <xdr:rowOff>179071</xdr:rowOff>
    </xdr:to>
    <xdr:cxnSp macro="_xll.PtreeEvent_ObjectClick">
      <xdr:nvCxnSpPr>
        <xdr:cNvPr id="461" name="PTObj_DBranchHLine_1_114">
          <a:extLst>
            <a:ext uri="{FF2B5EF4-FFF2-40B4-BE49-F238E27FC236}">
              <a16:creationId xmlns:a16="http://schemas.microsoft.com/office/drawing/2014/main" id="{9D260BE6-0C2F-7F8C-E412-E33050C59F2B}"/>
            </a:ext>
          </a:extLst>
        </xdr:cNvPr>
        <xdr:cNvCxnSpPr/>
      </xdr:nvCxnSpPr>
      <xdr:spPr>
        <a:xfrm>
          <a:off x="8856472" y="45479971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230</xdr:row>
      <xdr:rowOff>173992</xdr:rowOff>
    </xdr:from>
    <xdr:to>
      <xdr:col>5</xdr:col>
      <xdr:colOff>239522</xdr:colOff>
      <xdr:row>246</xdr:row>
      <xdr:rowOff>179071</xdr:rowOff>
    </xdr:to>
    <xdr:cxnSp macro="_xll.PtreeEvent_ObjectClick">
      <xdr:nvCxnSpPr>
        <xdr:cNvPr id="460" name="PTObj_DBranchDLine_1_114">
          <a:extLst>
            <a:ext uri="{FF2B5EF4-FFF2-40B4-BE49-F238E27FC236}">
              <a16:creationId xmlns:a16="http://schemas.microsoft.com/office/drawing/2014/main" id="{CBF43958-39C0-E73F-8448-4515322E1CFD}"/>
            </a:ext>
          </a:extLst>
        </xdr:cNvPr>
        <xdr:cNvCxnSpPr/>
      </xdr:nvCxnSpPr>
      <xdr:spPr>
        <a:xfrm>
          <a:off x="8704072" y="42528492"/>
          <a:ext cx="152400" cy="29514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228</xdr:row>
      <xdr:rowOff>179071</xdr:rowOff>
    </xdr:from>
    <xdr:to>
      <xdr:col>9</xdr:col>
      <xdr:colOff>127</xdr:colOff>
      <xdr:row>228</xdr:row>
      <xdr:rowOff>179071</xdr:rowOff>
    </xdr:to>
    <xdr:cxnSp macro="_xll.PtreeEvent_ObjectClick">
      <xdr:nvCxnSpPr>
        <xdr:cNvPr id="457" name="PTObj_DBranchHLine_1_113">
          <a:extLst>
            <a:ext uri="{FF2B5EF4-FFF2-40B4-BE49-F238E27FC236}">
              <a16:creationId xmlns:a16="http://schemas.microsoft.com/office/drawing/2014/main" id="{A3CF138D-D48B-F7CC-BD11-06731E399F4F}"/>
            </a:ext>
          </a:extLst>
        </xdr:cNvPr>
        <xdr:cNvCxnSpPr/>
      </xdr:nvCxnSpPr>
      <xdr:spPr>
        <a:xfrm>
          <a:off x="14438122" y="42165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226</xdr:row>
      <xdr:rowOff>173992</xdr:rowOff>
    </xdr:from>
    <xdr:to>
      <xdr:col>8</xdr:col>
      <xdr:colOff>239522</xdr:colOff>
      <xdr:row>228</xdr:row>
      <xdr:rowOff>179071</xdr:rowOff>
    </xdr:to>
    <xdr:cxnSp macro="_xll.PtreeEvent_ObjectClick">
      <xdr:nvCxnSpPr>
        <xdr:cNvPr id="456" name="PTObj_DBranchDLine_1_113">
          <a:extLst>
            <a:ext uri="{FF2B5EF4-FFF2-40B4-BE49-F238E27FC236}">
              <a16:creationId xmlns:a16="http://schemas.microsoft.com/office/drawing/2014/main" id="{F42B858C-54FD-70A8-C779-87480628B08A}"/>
            </a:ext>
          </a:extLst>
        </xdr:cNvPr>
        <xdr:cNvCxnSpPr/>
      </xdr:nvCxnSpPr>
      <xdr:spPr>
        <a:xfrm>
          <a:off x="14285722" y="417918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224</xdr:row>
      <xdr:rowOff>179071</xdr:rowOff>
    </xdr:from>
    <xdr:to>
      <xdr:col>9</xdr:col>
      <xdr:colOff>127</xdr:colOff>
      <xdr:row>224</xdr:row>
      <xdr:rowOff>179071</xdr:rowOff>
    </xdr:to>
    <xdr:cxnSp macro="_xll.PtreeEvent_ObjectClick">
      <xdr:nvCxnSpPr>
        <xdr:cNvPr id="453" name="PTObj_DBranchHLine_1_112">
          <a:extLst>
            <a:ext uri="{FF2B5EF4-FFF2-40B4-BE49-F238E27FC236}">
              <a16:creationId xmlns:a16="http://schemas.microsoft.com/office/drawing/2014/main" id="{7E7C7DE3-20ED-B884-F1B3-A97316BECC1D}"/>
            </a:ext>
          </a:extLst>
        </xdr:cNvPr>
        <xdr:cNvCxnSpPr/>
      </xdr:nvCxnSpPr>
      <xdr:spPr>
        <a:xfrm>
          <a:off x="14438122" y="41428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224</xdr:row>
      <xdr:rowOff>179071</xdr:rowOff>
    </xdr:from>
    <xdr:to>
      <xdr:col>8</xdr:col>
      <xdr:colOff>239522</xdr:colOff>
      <xdr:row>226</xdr:row>
      <xdr:rowOff>173992</xdr:rowOff>
    </xdr:to>
    <xdr:cxnSp macro="_xll.PtreeEvent_ObjectClick">
      <xdr:nvCxnSpPr>
        <xdr:cNvPr id="452" name="PTObj_DBranchDLine_1_112">
          <a:extLst>
            <a:ext uri="{FF2B5EF4-FFF2-40B4-BE49-F238E27FC236}">
              <a16:creationId xmlns:a16="http://schemas.microsoft.com/office/drawing/2014/main" id="{E1491B92-4F42-772E-AA74-8DFF4A7E3A2F}"/>
            </a:ext>
          </a:extLst>
        </xdr:cNvPr>
        <xdr:cNvCxnSpPr/>
      </xdr:nvCxnSpPr>
      <xdr:spPr>
        <a:xfrm flipV="1">
          <a:off x="14285722" y="414286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226</xdr:row>
      <xdr:rowOff>179071</xdr:rowOff>
    </xdr:from>
    <xdr:to>
      <xdr:col>8</xdr:col>
      <xdr:colOff>127</xdr:colOff>
      <xdr:row>226</xdr:row>
      <xdr:rowOff>179071</xdr:rowOff>
    </xdr:to>
    <xdr:cxnSp macro="_xll.PtreeEvent_ObjectClick">
      <xdr:nvCxnSpPr>
        <xdr:cNvPr id="449" name="PTObj_DBranchHLine_1_111">
          <a:extLst>
            <a:ext uri="{FF2B5EF4-FFF2-40B4-BE49-F238E27FC236}">
              <a16:creationId xmlns:a16="http://schemas.microsoft.com/office/drawing/2014/main" id="{1D6CFFE2-689A-A3E6-342B-092CF33367BC}"/>
            </a:ext>
          </a:extLst>
        </xdr:cNvPr>
        <xdr:cNvCxnSpPr/>
      </xdr:nvCxnSpPr>
      <xdr:spPr>
        <a:xfrm>
          <a:off x="12749022" y="417969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222</xdr:row>
      <xdr:rowOff>173992</xdr:rowOff>
    </xdr:from>
    <xdr:to>
      <xdr:col>7</xdr:col>
      <xdr:colOff>239522</xdr:colOff>
      <xdr:row>226</xdr:row>
      <xdr:rowOff>179071</xdr:rowOff>
    </xdr:to>
    <xdr:cxnSp macro="_xll.PtreeEvent_ObjectClick">
      <xdr:nvCxnSpPr>
        <xdr:cNvPr id="448" name="PTObj_DBranchDLine_1_111">
          <a:extLst>
            <a:ext uri="{FF2B5EF4-FFF2-40B4-BE49-F238E27FC236}">
              <a16:creationId xmlns:a16="http://schemas.microsoft.com/office/drawing/2014/main" id="{F9F24842-6865-9E4E-D421-85752FDFE1D6}"/>
            </a:ext>
          </a:extLst>
        </xdr:cNvPr>
        <xdr:cNvCxnSpPr/>
      </xdr:nvCxnSpPr>
      <xdr:spPr>
        <a:xfrm>
          <a:off x="12596622" y="410552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220</xdr:row>
      <xdr:rowOff>179071</xdr:rowOff>
    </xdr:from>
    <xdr:to>
      <xdr:col>9</xdr:col>
      <xdr:colOff>127</xdr:colOff>
      <xdr:row>220</xdr:row>
      <xdr:rowOff>179071</xdr:rowOff>
    </xdr:to>
    <xdr:cxnSp macro="_xll.PtreeEvent_ObjectClick">
      <xdr:nvCxnSpPr>
        <xdr:cNvPr id="445" name="PTObj_DBranchHLine_1_110">
          <a:extLst>
            <a:ext uri="{FF2B5EF4-FFF2-40B4-BE49-F238E27FC236}">
              <a16:creationId xmlns:a16="http://schemas.microsoft.com/office/drawing/2014/main" id="{487A6815-8CAB-36E3-D060-2A7EEE9C77C1}"/>
            </a:ext>
          </a:extLst>
        </xdr:cNvPr>
        <xdr:cNvCxnSpPr/>
      </xdr:nvCxnSpPr>
      <xdr:spPr>
        <a:xfrm>
          <a:off x="14438122" y="40692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218</xdr:row>
      <xdr:rowOff>173992</xdr:rowOff>
    </xdr:from>
    <xdr:to>
      <xdr:col>8</xdr:col>
      <xdr:colOff>239522</xdr:colOff>
      <xdr:row>220</xdr:row>
      <xdr:rowOff>179071</xdr:rowOff>
    </xdr:to>
    <xdr:cxnSp macro="_xll.PtreeEvent_ObjectClick">
      <xdr:nvCxnSpPr>
        <xdr:cNvPr id="444" name="PTObj_DBranchDLine_1_110">
          <a:extLst>
            <a:ext uri="{FF2B5EF4-FFF2-40B4-BE49-F238E27FC236}">
              <a16:creationId xmlns:a16="http://schemas.microsoft.com/office/drawing/2014/main" id="{AB2B5A32-B973-34E9-D632-733FB18A5BD6}"/>
            </a:ext>
          </a:extLst>
        </xdr:cNvPr>
        <xdr:cNvCxnSpPr/>
      </xdr:nvCxnSpPr>
      <xdr:spPr>
        <a:xfrm>
          <a:off x="14285722" y="403186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216</xdr:row>
      <xdr:rowOff>179071</xdr:rowOff>
    </xdr:from>
    <xdr:to>
      <xdr:col>9</xdr:col>
      <xdr:colOff>127</xdr:colOff>
      <xdr:row>216</xdr:row>
      <xdr:rowOff>179071</xdr:rowOff>
    </xdr:to>
    <xdr:cxnSp macro="_xll.PtreeEvent_ObjectClick">
      <xdr:nvCxnSpPr>
        <xdr:cNvPr id="441" name="PTObj_DBranchHLine_1_109">
          <a:extLst>
            <a:ext uri="{FF2B5EF4-FFF2-40B4-BE49-F238E27FC236}">
              <a16:creationId xmlns:a16="http://schemas.microsoft.com/office/drawing/2014/main" id="{3D3BA3E0-1E77-7D67-5D0C-AADEE4CF2E60}"/>
            </a:ext>
          </a:extLst>
        </xdr:cNvPr>
        <xdr:cNvCxnSpPr/>
      </xdr:nvCxnSpPr>
      <xdr:spPr>
        <a:xfrm>
          <a:off x="14438122" y="39955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216</xdr:row>
      <xdr:rowOff>179071</xdr:rowOff>
    </xdr:from>
    <xdr:to>
      <xdr:col>8</xdr:col>
      <xdr:colOff>239522</xdr:colOff>
      <xdr:row>218</xdr:row>
      <xdr:rowOff>173992</xdr:rowOff>
    </xdr:to>
    <xdr:cxnSp macro="_xll.PtreeEvent_ObjectClick">
      <xdr:nvCxnSpPr>
        <xdr:cNvPr id="440" name="PTObj_DBranchDLine_1_109">
          <a:extLst>
            <a:ext uri="{FF2B5EF4-FFF2-40B4-BE49-F238E27FC236}">
              <a16:creationId xmlns:a16="http://schemas.microsoft.com/office/drawing/2014/main" id="{2AB281FC-AEC5-E804-50C7-4FFC132CCA53}"/>
            </a:ext>
          </a:extLst>
        </xdr:cNvPr>
        <xdr:cNvCxnSpPr/>
      </xdr:nvCxnSpPr>
      <xdr:spPr>
        <a:xfrm flipV="1">
          <a:off x="14285722" y="399554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218</xdr:row>
      <xdr:rowOff>179071</xdr:rowOff>
    </xdr:from>
    <xdr:to>
      <xdr:col>8</xdr:col>
      <xdr:colOff>127</xdr:colOff>
      <xdr:row>218</xdr:row>
      <xdr:rowOff>179071</xdr:rowOff>
    </xdr:to>
    <xdr:cxnSp macro="_xll.PtreeEvent_ObjectClick">
      <xdr:nvCxnSpPr>
        <xdr:cNvPr id="437" name="PTObj_DBranchHLine_1_108">
          <a:extLst>
            <a:ext uri="{FF2B5EF4-FFF2-40B4-BE49-F238E27FC236}">
              <a16:creationId xmlns:a16="http://schemas.microsoft.com/office/drawing/2014/main" id="{6792E334-9CE1-E679-0348-9B5904F7579D}"/>
            </a:ext>
          </a:extLst>
        </xdr:cNvPr>
        <xdr:cNvCxnSpPr/>
      </xdr:nvCxnSpPr>
      <xdr:spPr>
        <a:xfrm>
          <a:off x="12749022" y="403237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218</xdr:row>
      <xdr:rowOff>179071</xdr:rowOff>
    </xdr:from>
    <xdr:to>
      <xdr:col>7</xdr:col>
      <xdr:colOff>239522</xdr:colOff>
      <xdr:row>222</xdr:row>
      <xdr:rowOff>173992</xdr:rowOff>
    </xdr:to>
    <xdr:cxnSp macro="_xll.PtreeEvent_ObjectClick">
      <xdr:nvCxnSpPr>
        <xdr:cNvPr id="436" name="PTObj_DBranchDLine_1_108">
          <a:extLst>
            <a:ext uri="{FF2B5EF4-FFF2-40B4-BE49-F238E27FC236}">
              <a16:creationId xmlns:a16="http://schemas.microsoft.com/office/drawing/2014/main" id="{84006666-15C0-06E1-7447-5529883FAADA}"/>
            </a:ext>
          </a:extLst>
        </xdr:cNvPr>
        <xdr:cNvCxnSpPr/>
      </xdr:nvCxnSpPr>
      <xdr:spPr>
        <a:xfrm flipV="1">
          <a:off x="12596622" y="403237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222</xdr:row>
      <xdr:rowOff>179071</xdr:rowOff>
    </xdr:from>
    <xdr:to>
      <xdr:col>7</xdr:col>
      <xdr:colOff>127</xdr:colOff>
      <xdr:row>222</xdr:row>
      <xdr:rowOff>179071</xdr:rowOff>
    </xdr:to>
    <xdr:cxnSp macro="_xll.PtreeEvent_ObjectClick">
      <xdr:nvCxnSpPr>
        <xdr:cNvPr id="433" name="PTObj_DBranchHLine_1_107">
          <a:extLst>
            <a:ext uri="{FF2B5EF4-FFF2-40B4-BE49-F238E27FC236}">
              <a16:creationId xmlns:a16="http://schemas.microsoft.com/office/drawing/2014/main" id="{84531F58-D956-AAE2-E34F-25DDA206CC08}"/>
            </a:ext>
          </a:extLst>
        </xdr:cNvPr>
        <xdr:cNvCxnSpPr/>
      </xdr:nvCxnSpPr>
      <xdr:spPr>
        <a:xfrm>
          <a:off x="11142472" y="410603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214</xdr:row>
      <xdr:rowOff>173992</xdr:rowOff>
    </xdr:from>
    <xdr:to>
      <xdr:col>6</xdr:col>
      <xdr:colOff>239522</xdr:colOff>
      <xdr:row>222</xdr:row>
      <xdr:rowOff>179071</xdr:rowOff>
    </xdr:to>
    <xdr:cxnSp macro="_xll.PtreeEvent_ObjectClick">
      <xdr:nvCxnSpPr>
        <xdr:cNvPr id="432" name="PTObj_DBranchDLine_1_107">
          <a:extLst>
            <a:ext uri="{FF2B5EF4-FFF2-40B4-BE49-F238E27FC236}">
              <a16:creationId xmlns:a16="http://schemas.microsoft.com/office/drawing/2014/main" id="{3B7CEC1F-08FF-2DEA-1A1D-8BA480A4788C}"/>
            </a:ext>
          </a:extLst>
        </xdr:cNvPr>
        <xdr:cNvCxnSpPr/>
      </xdr:nvCxnSpPr>
      <xdr:spPr>
        <a:xfrm>
          <a:off x="10990072" y="395820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212</xdr:row>
      <xdr:rowOff>179071</xdr:rowOff>
    </xdr:from>
    <xdr:to>
      <xdr:col>9</xdr:col>
      <xdr:colOff>127</xdr:colOff>
      <xdr:row>212</xdr:row>
      <xdr:rowOff>179071</xdr:rowOff>
    </xdr:to>
    <xdr:cxnSp macro="_xll.PtreeEvent_ObjectClick">
      <xdr:nvCxnSpPr>
        <xdr:cNvPr id="429" name="PTObj_DBranchHLine_1_106">
          <a:extLst>
            <a:ext uri="{FF2B5EF4-FFF2-40B4-BE49-F238E27FC236}">
              <a16:creationId xmlns:a16="http://schemas.microsoft.com/office/drawing/2014/main" id="{C39402B5-5244-DC67-F725-6DFA1F919086}"/>
            </a:ext>
          </a:extLst>
        </xdr:cNvPr>
        <xdr:cNvCxnSpPr/>
      </xdr:nvCxnSpPr>
      <xdr:spPr>
        <a:xfrm>
          <a:off x="14438122" y="39218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210</xdr:row>
      <xdr:rowOff>173992</xdr:rowOff>
    </xdr:from>
    <xdr:to>
      <xdr:col>8</xdr:col>
      <xdr:colOff>239522</xdr:colOff>
      <xdr:row>212</xdr:row>
      <xdr:rowOff>179071</xdr:rowOff>
    </xdr:to>
    <xdr:cxnSp macro="_xll.PtreeEvent_ObjectClick">
      <xdr:nvCxnSpPr>
        <xdr:cNvPr id="428" name="PTObj_DBranchDLine_1_106">
          <a:extLst>
            <a:ext uri="{FF2B5EF4-FFF2-40B4-BE49-F238E27FC236}">
              <a16:creationId xmlns:a16="http://schemas.microsoft.com/office/drawing/2014/main" id="{50602C5D-F8CB-BC22-A58D-DE6749519795}"/>
            </a:ext>
          </a:extLst>
        </xdr:cNvPr>
        <xdr:cNvCxnSpPr/>
      </xdr:nvCxnSpPr>
      <xdr:spPr>
        <a:xfrm>
          <a:off x="14285722" y="388454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208</xdr:row>
      <xdr:rowOff>179071</xdr:rowOff>
    </xdr:from>
    <xdr:to>
      <xdr:col>9</xdr:col>
      <xdr:colOff>127</xdr:colOff>
      <xdr:row>208</xdr:row>
      <xdr:rowOff>179071</xdr:rowOff>
    </xdr:to>
    <xdr:cxnSp macro="_xll.PtreeEvent_ObjectClick">
      <xdr:nvCxnSpPr>
        <xdr:cNvPr id="425" name="PTObj_DBranchHLine_1_105">
          <a:extLst>
            <a:ext uri="{FF2B5EF4-FFF2-40B4-BE49-F238E27FC236}">
              <a16:creationId xmlns:a16="http://schemas.microsoft.com/office/drawing/2014/main" id="{F6F186F8-24F4-1BF1-9AF2-BA65AACB4080}"/>
            </a:ext>
          </a:extLst>
        </xdr:cNvPr>
        <xdr:cNvCxnSpPr/>
      </xdr:nvCxnSpPr>
      <xdr:spPr>
        <a:xfrm>
          <a:off x="14438122" y="38482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208</xdr:row>
      <xdr:rowOff>179071</xdr:rowOff>
    </xdr:from>
    <xdr:to>
      <xdr:col>8</xdr:col>
      <xdr:colOff>239522</xdr:colOff>
      <xdr:row>210</xdr:row>
      <xdr:rowOff>173992</xdr:rowOff>
    </xdr:to>
    <xdr:cxnSp macro="_xll.PtreeEvent_ObjectClick">
      <xdr:nvCxnSpPr>
        <xdr:cNvPr id="424" name="PTObj_DBranchDLine_1_105">
          <a:extLst>
            <a:ext uri="{FF2B5EF4-FFF2-40B4-BE49-F238E27FC236}">
              <a16:creationId xmlns:a16="http://schemas.microsoft.com/office/drawing/2014/main" id="{67E45DAF-2ECA-D422-D220-A578A3595E3A}"/>
            </a:ext>
          </a:extLst>
        </xdr:cNvPr>
        <xdr:cNvCxnSpPr/>
      </xdr:nvCxnSpPr>
      <xdr:spPr>
        <a:xfrm flipV="1">
          <a:off x="14285722" y="384822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210</xdr:row>
      <xdr:rowOff>179071</xdr:rowOff>
    </xdr:from>
    <xdr:to>
      <xdr:col>8</xdr:col>
      <xdr:colOff>127</xdr:colOff>
      <xdr:row>210</xdr:row>
      <xdr:rowOff>179071</xdr:rowOff>
    </xdr:to>
    <xdr:cxnSp macro="_xll.PtreeEvent_ObjectClick">
      <xdr:nvCxnSpPr>
        <xdr:cNvPr id="421" name="PTObj_DBranchHLine_1_104">
          <a:extLst>
            <a:ext uri="{FF2B5EF4-FFF2-40B4-BE49-F238E27FC236}">
              <a16:creationId xmlns:a16="http://schemas.microsoft.com/office/drawing/2014/main" id="{FF338F1A-3748-0C83-6B75-DA894D516313}"/>
            </a:ext>
          </a:extLst>
        </xdr:cNvPr>
        <xdr:cNvCxnSpPr/>
      </xdr:nvCxnSpPr>
      <xdr:spPr>
        <a:xfrm>
          <a:off x="12749022" y="388505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206</xdr:row>
      <xdr:rowOff>173992</xdr:rowOff>
    </xdr:from>
    <xdr:to>
      <xdr:col>7</xdr:col>
      <xdr:colOff>239522</xdr:colOff>
      <xdr:row>210</xdr:row>
      <xdr:rowOff>179071</xdr:rowOff>
    </xdr:to>
    <xdr:cxnSp macro="_xll.PtreeEvent_ObjectClick">
      <xdr:nvCxnSpPr>
        <xdr:cNvPr id="420" name="PTObj_DBranchDLine_1_104">
          <a:extLst>
            <a:ext uri="{FF2B5EF4-FFF2-40B4-BE49-F238E27FC236}">
              <a16:creationId xmlns:a16="http://schemas.microsoft.com/office/drawing/2014/main" id="{569EB666-96D1-49EE-93B2-4AF1557A288E}"/>
            </a:ext>
          </a:extLst>
        </xdr:cNvPr>
        <xdr:cNvCxnSpPr/>
      </xdr:nvCxnSpPr>
      <xdr:spPr>
        <a:xfrm>
          <a:off x="12596622" y="381088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204</xdr:row>
      <xdr:rowOff>179071</xdr:rowOff>
    </xdr:from>
    <xdr:to>
      <xdr:col>9</xdr:col>
      <xdr:colOff>127</xdr:colOff>
      <xdr:row>204</xdr:row>
      <xdr:rowOff>179071</xdr:rowOff>
    </xdr:to>
    <xdr:cxnSp macro="_xll.PtreeEvent_ObjectClick">
      <xdr:nvCxnSpPr>
        <xdr:cNvPr id="417" name="PTObj_DBranchHLine_1_103">
          <a:extLst>
            <a:ext uri="{FF2B5EF4-FFF2-40B4-BE49-F238E27FC236}">
              <a16:creationId xmlns:a16="http://schemas.microsoft.com/office/drawing/2014/main" id="{9E811369-FF67-174E-873E-B05F745B636D}"/>
            </a:ext>
          </a:extLst>
        </xdr:cNvPr>
        <xdr:cNvCxnSpPr/>
      </xdr:nvCxnSpPr>
      <xdr:spPr>
        <a:xfrm>
          <a:off x="14438122" y="37745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202</xdr:row>
      <xdr:rowOff>173992</xdr:rowOff>
    </xdr:from>
    <xdr:to>
      <xdr:col>8</xdr:col>
      <xdr:colOff>239522</xdr:colOff>
      <xdr:row>204</xdr:row>
      <xdr:rowOff>179071</xdr:rowOff>
    </xdr:to>
    <xdr:cxnSp macro="_xll.PtreeEvent_ObjectClick">
      <xdr:nvCxnSpPr>
        <xdr:cNvPr id="416" name="PTObj_DBranchDLine_1_103">
          <a:extLst>
            <a:ext uri="{FF2B5EF4-FFF2-40B4-BE49-F238E27FC236}">
              <a16:creationId xmlns:a16="http://schemas.microsoft.com/office/drawing/2014/main" id="{523DCA45-EB75-09E3-AFAD-48A20E5CCE80}"/>
            </a:ext>
          </a:extLst>
        </xdr:cNvPr>
        <xdr:cNvCxnSpPr/>
      </xdr:nvCxnSpPr>
      <xdr:spPr>
        <a:xfrm>
          <a:off x="14285722" y="373722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200</xdr:row>
      <xdr:rowOff>179071</xdr:rowOff>
    </xdr:from>
    <xdr:to>
      <xdr:col>9</xdr:col>
      <xdr:colOff>127</xdr:colOff>
      <xdr:row>200</xdr:row>
      <xdr:rowOff>179071</xdr:rowOff>
    </xdr:to>
    <xdr:cxnSp macro="_xll.PtreeEvent_ObjectClick">
      <xdr:nvCxnSpPr>
        <xdr:cNvPr id="413" name="PTObj_DBranchHLine_1_102">
          <a:extLst>
            <a:ext uri="{FF2B5EF4-FFF2-40B4-BE49-F238E27FC236}">
              <a16:creationId xmlns:a16="http://schemas.microsoft.com/office/drawing/2014/main" id="{56CDD30B-9916-A3E0-4F8D-4037D8763BEE}"/>
            </a:ext>
          </a:extLst>
        </xdr:cNvPr>
        <xdr:cNvCxnSpPr/>
      </xdr:nvCxnSpPr>
      <xdr:spPr>
        <a:xfrm>
          <a:off x="14438122" y="37009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200</xdr:row>
      <xdr:rowOff>179071</xdr:rowOff>
    </xdr:from>
    <xdr:to>
      <xdr:col>8</xdr:col>
      <xdr:colOff>239522</xdr:colOff>
      <xdr:row>202</xdr:row>
      <xdr:rowOff>173992</xdr:rowOff>
    </xdr:to>
    <xdr:cxnSp macro="_xll.PtreeEvent_ObjectClick">
      <xdr:nvCxnSpPr>
        <xdr:cNvPr id="412" name="PTObj_DBranchDLine_1_102">
          <a:extLst>
            <a:ext uri="{FF2B5EF4-FFF2-40B4-BE49-F238E27FC236}">
              <a16:creationId xmlns:a16="http://schemas.microsoft.com/office/drawing/2014/main" id="{398F1D41-A542-CE4D-1E5D-B6B6786FA270}"/>
            </a:ext>
          </a:extLst>
        </xdr:cNvPr>
        <xdr:cNvCxnSpPr/>
      </xdr:nvCxnSpPr>
      <xdr:spPr>
        <a:xfrm flipV="1">
          <a:off x="14285722" y="370090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202</xdr:row>
      <xdr:rowOff>179071</xdr:rowOff>
    </xdr:from>
    <xdr:to>
      <xdr:col>8</xdr:col>
      <xdr:colOff>127</xdr:colOff>
      <xdr:row>202</xdr:row>
      <xdr:rowOff>179071</xdr:rowOff>
    </xdr:to>
    <xdr:cxnSp macro="_xll.PtreeEvent_ObjectClick">
      <xdr:nvCxnSpPr>
        <xdr:cNvPr id="409" name="PTObj_DBranchHLine_1_101">
          <a:extLst>
            <a:ext uri="{FF2B5EF4-FFF2-40B4-BE49-F238E27FC236}">
              <a16:creationId xmlns:a16="http://schemas.microsoft.com/office/drawing/2014/main" id="{B620AE05-36E2-D4C7-7810-94D672E11AF9}"/>
            </a:ext>
          </a:extLst>
        </xdr:cNvPr>
        <xdr:cNvCxnSpPr/>
      </xdr:nvCxnSpPr>
      <xdr:spPr>
        <a:xfrm>
          <a:off x="12749022" y="373773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202</xdr:row>
      <xdr:rowOff>179071</xdr:rowOff>
    </xdr:from>
    <xdr:to>
      <xdr:col>7</xdr:col>
      <xdr:colOff>239522</xdr:colOff>
      <xdr:row>206</xdr:row>
      <xdr:rowOff>173992</xdr:rowOff>
    </xdr:to>
    <xdr:cxnSp macro="_xll.PtreeEvent_ObjectClick">
      <xdr:nvCxnSpPr>
        <xdr:cNvPr id="408" name="PTObj_DBranchDLine_1_101">
          <a:extLst>
            <a:ext uri="{FF2B5EF4-FFF2-40B4-BE49-F238E27FC236}">
              <a16:creationId xmlns:a16="http://schemas.microsoft.com/office/drawing/2014/main" id="{9344C56E-62EC-7B0B-D8FA-3B8CF7B366E0}"/>
            </a:ext>
          </a:extLst>
        </xdr:cNvPr>
        <xdr:cNvCxnSpPr/>
      </xdr:nvCxnSpPr>
      <xdr:spPr>
        <a:xfrm flipV="1">
          <a:off x="12596622" y="373773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206</xdr:row>
      <xdr:rowOff>179071</xdr:rowOff>
    </xdr:from>
    <xdr:to>
      <xdr:col>7</xdr:col>
      <xdr:colOff>127</xdr:colOff>
      <xdr:row>206</xdr:row>
      <xdr:rowOff>179071</xdr:rowOff>
    </xdr:to>
    <xdr:cxnSp macro="_xll.PtreeEvent_ObjectClick">
      <xdr:nvCxnSpPr>
        <xdr:cNvPr id="405" name="PTObj_DBranchHLine_1_100">
          <a:extLst>
            <a:ext uri="{FF2B5EF4-FFF2-40B4-BE49-F238E27FC236}">
              <a16:creationId xmlns:a16="http://schemas.microsoft.com/office/drawing/2014/main" id="{A0EDF219-30B8-18E8-4392-DB35BA9D3A9F}"/>
            </a:ext>
          </a:extLst>
        </xdr:cNvPr>
        <xdr:cNvCxnSpPr/>
      </xdr:nvCxnSpPr>
      <xdr:spPr>
        <a:xfrm>
          <a:off x="11142472" y="381139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206</xdr:row>
      <xdr:rowOff>179071</xdr:rowOff>
    </xdr:from>
    <xdr:to>
      <xdr:col>6</xdr:col>
      <xdr:colOff>239522</xdr:colOff>
      <xdr:row>214</xdr:row>
      <xdr:rowOff>173992</xdr:rowOff>
    </xdr:to>
    <xdr:cxnSp macro="_xll.PtreeEvent_ObjectClick">
      <xdr:nvCxnSpPr>
        <xdr:cNvPr id="404" name="PTObj_DBranchDLine_1_100">
          <a:extLst>
            <a:ext uri="{FF2B5EF4-FFF2-40B4-BE49-F238E27FC236}">
              <a16:creationId xmlns:a16="http://schemas.microsoft.com/office/drawing/2014/main" id="{C57F86A4-A0F7-482F-03FB-1F072F086F8A}"/>
            </a:ext>
          </a:extLst>
        </xdr:cNvPr>
        <xdr:cNvCxnSpPr/>
      </xdr:nvCxnSpPr>
      <xdr:spPr>
        <a:xfrm flipV="1">
          <a:off x="10990072" y="38113971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214</xdr:row>
      <xdr:rowOff>179071</xdr:rowOff>
    </xdr:from>
    <xdr:to>
      <xdr:col>6</xdr:col>
      <xdr:colOff>127</xdr:colOff>
      <xdr:row>214</xdr:row>
      <xdr:rowOff>179071</xdr:rowOff>
    </xdr:to>
    <xdr:cxnSp macro="_xll.PtreeEvent_ObjectClick">
      <xdr:nvCxnSpPr>
        <xdr:cNvPr id="401" name="PTObj_DBranchHLine_1_99">
          <a:extLst>
            <a:ext uri="{FF2B5EF4-FFF2-40B4-BE49-F238E27FC236}">
              <a16:creationId xmlns:a16="http://schemas.microsoft.com/office/drawing/2014/main" id="{D8266A4E-817D-81BF-1792-318298307D76}"/>
            </a:ext>
          </a:extLst>
        </xdr:cNvPr>
        <xdr:cNvCxnSpPr/>
      </xdr:nvCxnSpPr>
      <xdr:spPr>
        <a:xfrm>
          <a:off x="8856472" y="39587171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214</xdr:row>
      <xdr:rowOff>179071</xdr:rowOff>
    </xdr:from>
    <xdr:to>
      <xdr:col>5</xdr:col>
      <xdr:colOff>239522</xdr:colOff>
      <xdr:row>230</xdr:row>
      <xdr:rowOff>173992</xdr:rowOff>
    </xdr:to>
    <xdr:cxnSp macro="_xll.PtreeEvent_ObjectClick">
      <xdr:nvCxnSpPr>
        <xdr:cNvPr id="400" name="PTObj_DBranchDLine_1_99">
          <a:extLst>
            <a:ext uri="{FF2B5EF4-FFF2-40B4-BE49-F238E27FC236}">
              <a16:creationId xmlns:a16="http://schemas.microsoft.com/office/drawing/2014/main" id="{418BE204-A2FB-76B9-01F2-D0BA66D22F67}"/>
            </a:ext>
          </a:extLst>
        </xdr:cNvPr>
        <xdr:cNvCxnSpPr/>
      </xdr:nvCxnSpPr>
      <xdr:spPr>
        <a:xfrm flipV="1">
          <a:off x="8704072" y="39587171"/>
          <a:ext cx="152400" cy="29413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230</xdr:row>
      <xdr:rowOff>179071</xdr:rowOff>
    </xdr:from>
    <xdr:to>
      <xdr:col>5</xdr:col>
      <xdr:colOff>127</xdr:colOff>
      <xdr:row>230</xdr:row>
      <xdr:rowOff>179071</xdr:rowOff>
    </xdr:to>
    <xdr:cxnSp macro="_xll.PtreeEvent_ObjectClick">
      <xdr:nvCxnSpPr>
        <xdr:cNvPr id="397" name="PTObj_DBranchHLine_1_98">
          <a:extLst>
            <a:ext uri="{FF2B5EF4-FFF2-40B4-BE49-F238E27FC236}">
              <a16:creationId xmlns:a16="http://schemas.microsoft.com/office/drawing/2014/main" id="{974B30AD-F731-4EA2-F234-5BE82C8DCB4E}"/>
            </a:ext>
          </a:extLst>
        </xdr:cNvPr>
        <xdr:cNvCxnSpPr/>
      </xdr:nvCxnSpPr>
      <xdr:spPr>
        <a:xfrm>
          <a:off x="6589522" y="425335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198</xdr:row>
      <xdr:rowOff>173992</xdr:rowOff>
    </xdr:from>
    <xdr:to>
      <xdr:col>4</xdr:col>
      <xdr:colOff>239522</xdr:colOff>
      <xdr:row>230</xdr:row>
      <xdr:rowOff>179071</xdr:rowOff>
    </xdr:to>
    <xdr:cxnSp macro="_xll.PtreeEvent_ObjectClick">
      <xdr:nvCxnSpPr>
        <xdr:cNvPr id="396" name="PTObj_DBranchDLine_1_98">
          <a:extLst>
            <a:ext uri="{FF2B5EF4-FFF2-40B4-BE49-F238E27FC236}">
              <a16:creationId xmlns:a16="http://schemas.microsoft.com/office/drawing/2014/main" id="{534EA771-0402-3A74-CAB9-C9F80E2224AA}"/>
            </a:ext>
          </a:extLst>
        </xdr:cNvPr>
        <xdr:cNvCxnSpPr/>
      </xdr:nvCxnSpPr>
      <xdr:spPr>
        <a:xfrm>
          <a:off x="6437122" y="36635692"/>
          <a:ext cx="152400" cy="58978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196</xdr:row>
      <xdr:rowOff>179071</xdr:rowOff>
    </xdr:from>
    <xdr:to>
      <xdr:col>9</xdr:col>
      <xdr:colOff>127</xdr:colOff>
      <xdr:row>196</xdr:row>
      <xdr:rowOff>179071</xdr:rowOff>
    </xdr:to>
    <xdr:cxnSp macro="_xll.PtreeEvent_ObjectClick">
      <xdr:nvCxnSpPr>
        <xdr:cNvPr id="393" name="PTObj_DBranchHLine_1_97">
          <a:extLst>
            <a:ext uri="{FF2B5EF4-FFF2-40B4-BE49-F238E27FC236}">
              <a16:creationId xmlns:a16="http://schemas.microsoft.com/office/drawing/2014/main" id="{8BFBAA10-09E8-94C2-CDBC-AB1613874BE7}"/>
            </a:ext>
          </a:extLst>
        </xdr:cNvPr>
        <xdr:cNvCxnSpPr/>
      </xdr:nvCxnSpPr>
      <xdr:spPr>
        <a:xfrm>
          <a:off x="14438122" y="36272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194</xdr:row>
      <xdr:rowOff>173992</xdr:rowOff>
    </xdr:from>
    <xdr:to>
      <xdr:col>8</xdr:col>
      <xdr:colOff>239522</xdr:colOff>
      <xdr:row>196</xdr:row>
      <xdr:rowOff>179071</xdr:rowOff>
    </xdr:to>
    <xdr:cxnSp macro="_xll.PtreeEvent_ObjectClick">
      <xdr:nvCxnSpPr>
        <xdr:cNvPr id="392" name="PTObj_DBranchDLine_1_97">
          <a:extLst>
            <a:ext uri="{FF2B5EF4-FFF2-40B4-BE49-F238E27FC236}">
              <a16:creationId xmlns:a16="http://schemas.microsoft.com/office/drawing/2014/main" id="{89A45049-A7A5-ABF4-12E7-99C5AD84D484}"/>
            </a:ext>
          </a:extLst>
        </xdr:cNvPr>
        <xdr:cNvCxnSpPr/>
      </xdr:nvCxnSpPr>
      <xdr:spPr>
        <a:xfrm>
          <a:off x="14285722" y="358990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192</xdr:row>
      <xdr:rowOff>179071</xdr:rowOff>
    </xdr:from>
    <xdr:to>
      <xdr:col>9</xdr:col>
      <xdr:colOff>127</xdr:colOff>
      <xdr:row>192</xdr:row>
      <xdr:rowOff>179071</xdr:rowOff>
    </xdr:to>
    <xdr:cxnSp macro="_xll.PtreeEvent_ObjectClick">
      <xdr:nvCxnSpPr>
        <xdr:cNvPr id="389" name="PTObj_DBranchHLine_1_96">
          <a:extLst>
            <a:ext uri="{FF2B5EF4-FFF2-40B4-BE49-F238E27FC236}">
              <a16:creationId xmlns:a16="http://schemas.microsoft.com/office/drawing/2014/main" id="{FCD7BFA9-32C4-FA3C-4691-071CE91766DB}"/>
            </a:ext>
          </a:extLst>
        </xdr:cNvPr>
        <xdr:cNvCxnSpPr/>
      </xdr:nvCxnSpPr>
      <xdr:spPr>
        <a:xfrm>
          <a:off x="14438122" y="35535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192</xdr:row>
      <xdr:rowOff>179071</xdr:rowOff>
    </xdr:from>
    <xdr:to>
      <xdr:col>8</xdr:col>
      <xdr:colOff>239522</xdr:colOff>
      <xdr:row>194</xdr:row>
      <xdr:rowOff>173992</xdr:rowOff>
    </xdr:to>
    <xdr:cxnSp macro="_xll.PtreeEvent_ObjectClick">
      <xdr:nvCxnSpPr>
        <xdr:cNvPr id="388" name="PTObj_DBranchDLine_1_96">
          <a:extLst>
            <a:ext uri="{FF2B5EF4-FFF2-40B4-BE49-F238E27FC236}">
              <a16:creationId xmlns:a16="http://schemas.microsoft.com/office/drawing/2014/main" id="{14CB2899-8785-62B4-4AE9-CEA2E8B08886}"/>
            </a:ext>
          </a:extLst>
        </xdr:cNvPr>
        <xdr:cNvCxnSpPr/>
      </xdr:nvCxnSpPr>
      <xdr:spPr>
        <a:xfrm flipV="1">
          <a:off x="14285722" y="355358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194</xdr:row>
      <xdr:rowOff>179071</xdr:rowOff>
    </xdr:from>
    <xdr:to>
      <xdr:col>8</xdr:col>
      <xdr:colOff>127</xdr:colOff>
      <xdr:row>194</xdr:row>
      <xdr:rowOff>179071</xdr:rowOff>
    </xdr:to>
    <xdr:cxnSp macro="_xll.PtreeEvent_ObjectClick">
      <xdr:nvCxnSpPr>
        <xdr:cNvPr id="385" name="PTObj_DBranchHLine_1_95">
          <a:extLst>
            <a:ext uri="{FF2B5EF4-FFF2-40B4-BE49-F238E27FC236}">
              <a16:creationId xmlns:a16="http://schemas.microsoft.com/office/drawing/2014/main" id="{771DCBB6-FDCC-7863-AFF1-9B74708108B2}"/>
            </a:ext>
          </a:extLst>
        </xdr:cNvPr>
        <xdr:cNvCxnSpPr/>
      </xdr:nvCxnSpPr>
      <xdr:spPr>
        <a:xfrm>
          <a:off x="12749022" y="359041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190</xdr:row>
      <xdr:rowOff>173992</xdr:rowOff>
    </xdr:from>
    <xdr:to>
      <xdr:col>7</xdr:col>
      <xdr:colOff>239522</xdr:colOff>
      <xdr:row>194</xdr:row>
      <xdr:rowOff>179071</xdr:rowOff>
    </xdr:to>
    <xdr:cxnSp macro="_xll.PtreeEvent_ObjectClick">
      <xdr:nvCxnSpPr>
        <xdr:cNvPr id="384" name="PTObj_DBranchDLine_1_95">
          <a:extLst>
            <a:ext uri="{FF2B5EF4-FFF2-40B4-BE49-F238E27FC236}">
              <a16:creationId xmlns:a16="http://schemas.microsoft.com/office/drawing/2014/main" id="{A06F0ADD-7042-FD1A-BCC8-3476A9789E2A}"/>
            </a:ext>
          </a:extLst>
        </xdr:cNvPr>
        <xdr:cNvCxnSpPr/>
      </xdr:nvCxnSpPr>
      <xdr:spPr>
        <a:xfrm>
          <a:off x="12596622" y="351624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188</xdr:row>
      <xdr:rowOff>179071</xdr:rowOff>
    </xdr:from>
    <xdr:to>
      <xdr:col>9</xdr:col>
      <xdr:colOff>127</xdr:colOff>
      <xdr:row>188</xdr:row>
      <xdr:rowOff>179071</xdr:rowOff>
    </xdr:to>
    <xdr:cxnSp macro="_xll.PtreeEvent_ObjectClick">
      <xdr:nvCxnSpPr>
        <xdr:cNvPr id="381" name="PTObj_DBranchHLine_1_94">
          <a:extLst>
            <a:ext uri="{FF2B5EF4-FFF2-40B4-BE49-F238E27FC236}">
              <a16:creationId xmlns:a16="http://schemas.microsoft.com/office/drawing/2014/main" id="{DAEA7D2C-3EA1-591C-0011-256627E3FA47}"/>
            </a:ext>
          </a:extLst>
        </xdr:cNvPr>
        <xdr:cNvCxnSpPr/>
      </xdr:nvCxnSpPr>
      <xdr:spPr>
        <a:xfrm>
          <a:off x="14438122" y="34799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186</xdr:row>
      <xdr:rowOff>173992</xdr:rowOff>
    </xdr:from>
    <xdr:to>
      <xdr:col>8</xdr:col>
      <xdr:colOff>239522</xdr:colOff>
      <xdr:row>188</xdr:row>
      <xdr:rowOff>179071</xdr:rowOff>
    </xdr:to>
    <xdr:cxnSp macro="_xll.PtreeEvent_ObjectClick">
      <xdr:nvCxnSpPr>
        <xdr:cNvPr id="380" name="PTObj_DBranchDLine_1_94">
          <a:extLst>
            <a:ext uri="{FF2B5EF4-FFF2-40B4-BE49-F238E27FC236}">
              <a16:creationId xmlns:a16="http://schemas.microsoft.com/office/drawing/2014/main" id="{D7C75F6A-809B-1186-1BB1-1027A515C57A}"/>
            </a:ext>
          </a:extLst>
        </xdr:cNvPr>
        <xdr:cNvCxnSpPr/>
      </xdr:nvCxnSpPr>
      <xdr:spPr>
        <a:xfrm>
          <a:off x="14285722" y="344258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184</xdr:row>
      <xdr:rowOff>179071</xdr:rowOff>
    </xdr:from>
    <xdr:to>
      <xdr:col>9</xdr:col>
      <xdr:colOff>127</xdr:colOff>
      <xdr:row>184</xdr:row>
      <xdr:rowOff>179071</xdr:rowOff>
    </xdr:to>
    <xdr:cxnSp macro="_xll.PtreeEvent_ObjectClick">
      <xdr:nvCxnSpPr>
        <xdr:cNvPr id="377" name="PTObj_DBranchHLine_1_93">
          <a:extLst>
            <a:ext uri="{FF2B5EF4-FFF2-40B4-BE49-F238E27FC236}">
              <a16:creationId xmlns:a16="http://schemas.microsoft.com/office/drawing/2014/main" id="{1AA42A12-762A-A6E3-2C61-57740AF49F37}"/>
            </a:ext>
          </a:extLst>
        </xdr:cNvPr>
        <xdr:cNvCxnSpPr/>
      </xdr:nvCxnSpPr>
      <xdr:spPr>
        <a:xfrm>
          <a:off x="14438122" y="34062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184</xdr:row>
      <xdr:rowOff>179071</xdr:rowOff>
    </xdr:from>
    <xdr:to>
      <xdr:col>8</xdr:col>
      <xdr:colOff>239522</xdr:colOff>
      <xdr:row>186</xdr:row>
      <xdr:rowOff>173992</xdr:rowOff>
    </xdr:to>
    <xdr:cxnSp macro="_xll.PtreeEvent_ObjectClick">
      <xdr:nvCxnSpPr>
        <xdr:cNvPr id="376" name="PTObj_DBranchDLine_1_93">
          <a:extLst>
            <a:ext uri="{FF2B5EF4-FFF2-40B4-BE49-F238E27FC236}">
              <a16:creationId xmlns:a16="http://schemas.microsoft.com/office/drawing/2014/main" id="{D3228B8A-C10A-D73D-8ACE-E024E849F371}"/>
            </a:ext>
          </a:extLst>
        </xdr:cNvPr>
        <xdr:cNvCxnSpPr/>
      </xdr:nvCxnSpPr>
      <xdr:spPr>
        <a:xfrm flipV="1">
          <a:off x="14285722" y="340626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186</xdr:row>
      <xdr:rowOff>179071</xdr:rowOff>
    </xdr:from>
    <xdr:to>
      <xdr:col>8</xdr:col>
      <xdr:colOff>127</xdr:colOff>
      <xdr:row>186</xdr:row>
      <xdr:rowOff>179071</xdr:rowOff>
    </xdr:to>
    <xdr:cxnSp macro="_xll.PtreeEvent_ObjectClick">
      <xdr:nvCxnSpPr>
        <xdr:cNvPr id="373" name="PTObj_DBranchHLine_1_92">
          <a:extLst>
            <a:ext uri="{FF2B5EF4-FFF2-40B4-BE49-F238E27FC236}">
              <a16:creationId xmlns:a16="http://schemas.microsoft.com/office/drawing/2014/main" id="{40F44B86-DB73-E01B-160E-85FBF2D157FC}"/>
            </a:ext>
          </a:extLst>
        </xdr:cNvPr>
        <xdr:cNvCxnSpPr/>
      </xdr:nvCxnSpPr>
      <xdr:spPr>
        <a:xfrm>
          <a:off x="12749022" y="344309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186</xdr:row>
      <xdr:rowOff>179071</xdr:rowOff>
    </xdr:from>
    <xdr:to>
      <xdr:col>7</xdr:col>
      <xdr:colOff>239522</xdr:colOff>
      <xdr:row>190</xdr:row>
      <xdr:rowOff>173992</xdr:rowOff>
    </xdr:to>
    <xdr:cxnSp macro="_xll.PtreeEvent_ObjectClick">
      <xdr:nvCxnSpPr>
        <xdr:cNvPr id="372" name="PTObj_DBranchDLine_1_92">
          <a:extLst>
            <a:ext uri="{FF2B5EF4-FFF2-40B4-BE49-F238E27FC236}">
              <a16:creationId xmlns:a16="http://schemas.microsoft.com/office/drawing/2014/main" id="{56D091CF-E745-D2A0-4EA5-BE7D52A8E70B}"/>
            </a:ext>
          </a:extLst>
        </xdr:cNvPr>
        <xdr:cNvCxnSpPr/>
      </xdr:nvCxnSpPr>
      <xdr:spPr>
        <a:xfrm flipV="1">
          <a:off x="12596622" y="344309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190</xdr:row>
      <xdr:rowOff>179071</xdr:rowOff>
    </xdr:from>
    <xdr:to>
      <xdr:col>7</xdr:col>
      <xdr:colOff>127</xdr:colOff>
      <xdr:row>190</xdr:row>
      <xdr:rowOff>179071</xdr:rowOff>
    </xdr:to>
    <xdr:cxnSp macro="_xll.PtreeEvent_ObjectClick">
      <xdr:nvCxnSpPr>
        <xdr:cNvPr id="369" name="PTObj_DBranchHLine_1_91">
          <a:extLst>
            <a:ext uri="{FF2B5EF4-FFF2-40B4-BE49-F238E27FC236}">
              <a16:creationId xmlns:a16="http://schemas.microsoft.com/office/drawing/2014/main" id="{25AEFA2E-6405-756C-8A59-39ECECE26AD0}"/>
            </a:ext>
          </a:extLst>
        </xdr:cNvPr>
        <xdr:cNvCxnSpPr/>
      </xdr:nvCxnSpPr>
      <xdr:spPr>
        <a:xfrm>
          <a:off x="11142472" y="351675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182</xdr:row>
      <xdr:rowOff>173992</xdr:rowOff>
    </xdr:from>
    <xdr:to>
      <xdr:col>6</xdr:col>
      <xdr:colOff>239522</xdr:colOff>
      <xdr:row>190</xdr:row>
      <xdr:rowOff>179071</xdr:rowOff>
    </xdr:to>
    <xdr:cxnSp macro="_xll.PtreeEvent_ObjectClick">
      <xdr:nvCxnSpPr>
        <xdr:cNvPr id="368" name="PTObj_DBranchDLine_1_91">
          <a:extLst>
            <a:ext uri="{FF2B5EF4-FFF2-40B4-BE49-F238E27FC236}">
              <a16:creationId xmlns:a16="http://schemas.microsoft.com/office/drawing/2014/main" id="{59058E4F-53D1-D60F-C90C-BA886B9FDFD2}"/>
            </a:ext>
          </a:extLst>
        </xdr:cNvPr>
        <xdr:cNvCxnSpPr/>
      </xdr:nvCxnSpPr>
      <xdr:spPr>
        <a:xfrm>
          <a:off x="10990072" y="336892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180</xdr:row>
      <xdr:rowOff>179071</xdr:rowOff>
    </xdr:from>
    <xdr:to>
      <xdr:col>9</xdr:col>
      <xdr:colOff>127</xdr:colOff>
      <xdr:row>180</xdr:row>
      <xdr:rowOff>179071</xdr:rowOff>
    </xdr:to>
    <xdr:cxnSp macro="_xll.PtreeEvent_ObjectClick">
      <xdr:nvCxnSpPr>
        <xdr:cNvPr id="365" name="PTObj_DBranchHLine_1_90">
          <a:extLst>
            <a:ext uri="{FF2B5EF4-FFF2-40B4-BE49-F238E27FC236}">
              <a16:creationId xmlns:a16="http://schemas.microsoft.com/office/drawing/2014/main" id="{591CDAFF-7796-88ED-6BE1-ECE41774AC33}"/>
            </a:ext>
          </a:extLst>
        </xdr:cNvPr>
        <xdr:cNvCxnSpPr/>
      </xdr:nvCxnSpPr>
      <xdr:spPr>
        <a:xfrm>
          <a:off x="14438122" y="33326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178</xdr:row>
      <xdr:rowOff>173992</xdr:rowOff>
    </xdr:from>
    <xdr:to>
      <xdr:col>8</xdr:col>
      <xdr:colOff>239522</xdr:colOff>
      <xdr:row>180</xdr:row>
      <xdr:rowOff>179071</xdr:rowOff>
    </xdr:to>
    <xdr:cxnSp macro="_xll.PtreeEvent_ObjectClick">
      <xdr:nvCxnSpPr>
        <xdr:cNvPr id="364" name="PTObj_DBranchDLine_1_90">
          <a:extLst>
            <a:ext uri="{FF2B5EF4-FFF2-40B4-BE49-F238E27FC236}">
              <a16:creationId xmlns:a16="http://schemas.microsoft.com/office/drawing/2014/main" id="{E6F9CA9E-0124-484D-D0ED-F370E7608DD4}"/>
            </a:ext>
          </a:extLst>
        </xdr:cNvPr>
        <xdr:cNvCxnSpPr/>
      </xdr:nvCxnSpPr>
      <xdr:spPr>
        <a:xfrm>
          <a:off x="14285722" y="329526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176</xdr:row>
      <xdr:rowOff>179071</xdr:rowOff>
    </xdr:from>
    <xdr:to>
      <xdr:col>9</xdr:col>
      <xdr:colOff>127</xdr:colOff>
      <xdr:row>176</xdr:row>
      <xdr:rowOff>179071</xdr:rowOff>
    </xdr:to>
    <xdr:cxnSp macro="_xll.PtreeEvent_ObjectClick">
      <xdr:nvCxnSpPr>
        <xdr:cNvPr id="361" name="PTObj_DBranchHLine_1_89">
          <a:extLst>
            <a:ext uri="{FF2B5EF4-FFF2-40B4-BE49-F238E27FC236}">
              <a16:creationId xmlns:a16="http://schemas.microsoft.com/office/drawing/2014/main" id="{6F5A30AF-E7CF-48F3-A892-253084516DCF}"/>
            </a:ext>
          </a:extLst>
        </xdr:cNvPr>
        <xdr:cNvCxnSpPr/>
      </xdr:nvCxnSpPr>
      <xdr:spPr>
        <a:xfrm>
          <a:off x="14438122" y="32589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176</xdr:row>
      <xdr:rowOff>179071</xdr:rowOff>
    </xdr:from>
    <xdr:to>
      <xdr:col>8</xdr:col>
      <xdr:colOff>239522</xdr:colOff>
      <xdr:row>178</xdr:row>
      <xdr:rowOff>173992</xdr:rowOff>
    </xdr:to>
    <xdr:cxnSp macro="_xll.PtreeEvent_ObjectClick">
      <xdr:nvCxnSpPr>
        <xdr:cNvPr id="360" name="PTObj_DBranchDLine_1_89">
          <a:extLst>
            <a:ext uri="{FF2B5EF4-FFF2-40B4-BE49-F238E27FC236}">
              <a16:creationId xmlns:a16="http://schemas.microsoft.com/office/drawing/2014/main" id="{BC4FA36B-2C1A-D239-D6CF-9D20B66FFE87}"/>
            </a:ext>
          </a:extLst>
        </xdr:cNvPr>
        <xdr:cNvCxnSpPr/>
      </xdr:nvCxnSpPr>
      <xdr:spPr>
        <a:xfrm flipV="1">
          <a:off x="14285722" y="325894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178</xdr:row>
      <xdr:rowOff>179071</xdr:rowOff>
    </xdr:from>
    <xdr:to>
      <xdr:col>8</xdr:col>
      <xdr:colOff>127</xdr:colOff>
      <xdr:row>178</xdr:row>
      <xdr:rowOff>179071</xdr:rowOff>
    </xdr:to>
    <xdr:cxnSp macro="_xll.PtreeEvent_ObjectClick">
      <xdr:nvCxnSpPr>
        <xdr:cNvPr id="357" name="PTObj_DBranchHLine_1_88">
          <a:extLst>
            <a:ext uri="{FF2B5EF4-FFF2-40B4-BE49-F238E27FC236}">
              <a16:creationId xmlns:a16="http://schemas.microsoft.com/office/drawing/2014/main" id="{930467F9-309A-2607-7E9B-3CA09711CC95}"/>
            </a:ext>
          </a:extLst>
        </xdr:cNvPr>
        <xdr:cNvCxnSpPr/>
      </xdr:nvCxnSpPr>
      <xdr:spPr>
        <a:xfrm>
          <a:off x="12749022" y="329577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174</xdr:row>
      <xdr:rowOff>173992</xdr:rowOff>
    </xdr:from>
    <xdr:to>
      <xdr:col>7</xdr:col>
      <xdr:colOff>239522</xdr:colOff>
      <xdr:row>178</xdr:row>
      <xdr:rowOff>179071</xdr:rowOff>
    </xdr:to>
    <xdr:cxnSp macro="_xll.PtreeEvent_ObjectClick">
      <xdr:nvCxnSpPr>
        <xdr:cNvPr id="356" name="PTObj_DBranchDLine_1_88">
          <a:extLst>
            <a:ext uri="{FF2B5EF4-FFF2-40B4-BE49-F238E27FC236}">
              <a16:creationId xmlns:a16="http://schemas.microsoft.com/office/drawing/2014/main" id="{E951232D-F180-8BF8-9F3C-DECE4C78B487}"/>
            </a:ext>
          </a:extLst>
        </xdr:cNvPr>
        <xdr:cNvCxnSpPr/>
      </xdr:nvCxnSpPr>
      <xdr:spPr>
        <a:xfrm>
          <a:off x="12596622" y="322160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172</xdr:row>
      <xdr:rowOff>179071</xdr:rowOff>
    </xdr:from>
    <xdr:to>
      <xdr:col>9</xdr:col>
      <xdr:colOff>127</xdr:colOff>
      <xdr:row>172</xdr:row>
      <xdr:rowOff>179071</xdr:rowOff>
    </xdr:to>
    <xdr:cxnSp macro="_xll.PtreeEvent_ObjectClick">
      <xdr:nvCxnSpPr>
        <xdr:cNvPr id="353" name="PTObj_DBranchHLine_1_87">
          <a:extLst>
            <a:ext uri="{FF2B5EF4-FFF2-40B4-BE49-F238E27FC236}">
              <a16:creationId xmlns:a16="http://schemas.microsoft.com/office/drawing/2014/main" id="{FCABA015-6283-1DB9-C18F-A53A6FA216C6}"/>
            </a:ext>
          </a:extLst>
        </xdr:cNvPr>
        <xdr:cNvCxnSpPr/>
      </xdr:nvCxnSpPr>
      <xdr:spPr>
        <a:xfrm>
          <a:off x="14438122" y="31852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170</xdr:row>
      <xdr:rowOff>173992</xdr:rowOff>
    </xdr:from>
    <xdr:to>
      <xdr:col>8</xdr:col>
      <xdr:colOff>239522</xdr:colOff>
      <xdr:row>172</xdr:row>
      <xdr:rowOff>179071</xdr:rowOff>
    </xdr:to>
    <xdr:cxnSp macro="_xll.PtreeEvent_ObjectClick">
      <xdr:nvCxnSpPr>
        <xdr:cNvPr id="352" name="PTObj_DBranchDLine_1_87">
          <a:extLst>
            <a:ext uri="{FF2B5EF4-FFF2-40B4-BE49-F238E27FC236}">
              <a16:creationId xmlns:a16="http://schemas.microsoft.com/office/drawing/2014/main" id="{000426C8-BE6F-6A29-3331-1894531B62E6}"/>
            </a:ext>
          </a:extLst>
        </xdr:cNvPr>
        <xdr:cNvCxnSpPr/>
      </xdr:nvCxnSpPr>
      <xdr:spPr>
        <a:xfrm>
          <a:off x="14285722" y="314794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168</xdr:row>
      <xdr:rowOff>179071</xdr:rowOff>
    </xdr:from>
    <xdr:to>
      <xdr:col>9</xdr:col>
      <xdr:colOff>127</xdr:colOff>
      <xdr:row>168</xdr:row>
      <xdr:rowOff>179071</xdr:rowOff>
    </xdr:to>
    <xdr:cxnSp macro="_xll.PtreeEvent_ObjectClick">
      <xdr:nvCxnSpPr>
        <xdr:cNvPr id="349" name="PTObj_DBranchHLine_1_86">
          <a:extLst>
            <a:ext uri="{FF2B5EF4-FFF2-40B4-BE49-F238E27FC236}">
              <a16:creationId xmlns:a16="http://schemas.microsoft.com/office/drawing/2014/main" id="{65725E73-F370-8D10-1585-8B34A4B932FB}"/>
            </a:ext>
          </a:extLst>
        </xdr:cNvPr>
        <xdr:cNvCxnSpPr/>
      </xdr:nvCxnSpPr>
      <xdr:spPr>
        <a:xfrm>
          <a:off x="14438122" y="31116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168</xdr:row>
      <xdr:rowOff>179071</xdr:rowOff>
    </xdr:from>
    <xdr:to>
      <xdr:col>8</xdr:col>
      <xdr:colOff>239522</xdr:colOff>
      <xdr:row>170</xdr:row>
      <xdr:rowOff>173992</xdr:rowOff>
    </xdr:to>
    <xdr:cxnSp macro="_xll.PtreeEvent_ObjectClick">
      <xdr:nvCxnSpPr>
        <xdr:cNvPr id="348" name="PTObj_DBranchDLine_1_86">
          <a:extLst>
            <a:ext uri="{FF2B5EF4-FFF2-40B4-BE49-F238E27FC236}">
              <a16:creationId xmlns:a16="http://schemas.microsoft.com/office/drawing/2014/main" id="{FBDD25CC-7AB2-3972-3D64-F5A6F6B4AFFD}"/>
            </a:ext>
          </a:extLst>
        </xdr:cNvPr>
        <xdr:cNvCxnSpPr/>
      </xdr:nvCxnSpPr>
      <xdr:spPr>
        <a:xfrm flipV="1">
          <a:off x="14285722" y="311162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170</xdr:row>
      <xdr:rowOff>179071</xdr:rowOff>
    </xdr:from>
    <xdr:to>
      <xdr:col>8</xdr:col>
      <xdr:colOff>127</xdr:colOff>
      <xdr:row>170</xdr:row>
      <xdr:rowOff>179071</xdr:rowOff>
    </xdr:to>
    <xdr:cxnSp macro="_xll.PtreeEvent_ObjectClick">
      <xdr:nvCxnSpPr>
        <xdr:cNvPr id="345" name="PTObj_DBranchHLine_1_85">
          <a:extLst>
            <a:ext uri="{FF2B5EF4-FFF2-40B4-BE49-F238E27FC236}">
              <a16:creationId xmlns:a16="http://schemas.microsoft.com/office/drawing/2014/main" id="{D4D0FD01-85F0-0217-59CA-41BF2DC42D2A}"/>
            </a:ext>
          </a:extLst>
        </xdr:cNvPr>
        <xdr:cNvCxnSpPr/>
      </xdr:nvCxnSpPr>
      <xdr:spPr>
        <a:xfrm>
          <a:off x="12749022" y="314845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170</xdr:row>
      <xdr:rowOff>179071</xdr:rowOff>
    </xdr:from>
    <xdr:to>
      <xdr:col>7</xdr:col>
      <xdr:colOff>239522</xdr:colOff>
      <xdr:row>174</xdr:row>
      <xdr:rowOff>173992</xdr:rowOff>
    </xdr:to>
    <xdr:cxnSp macro="_xll.PtreeEvent_ObjectClick">
      <xdr:nvCxnSpPr>
        <xdr:cNvPr id="344" name="PTObj_DBranchDLine_1_85">
          <a:extLst>
            <a:ext uri="{FF2B5EF4-FFF2-40B4-BE49-F238E27FC236}">
              <a16:creationId xmlns:a16="http://schemas.microsoft.com/office/drawing/2014/main" id="{63EB862F-50A0-4DB0-5933-91B5704657D4}"/>
            </a:ext>
          </a:extLst>
        </xdr:cNvPr>
        <xdr:cNvCxnSpPr/>
      </xdr:nvCxnSpPr>
      <xdr:spPr>
        <a:xfrm flipV="1">
          <a:off x="12596622" y="314845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174</xdr:row>
      <xdr:rowOff>179071</xdr:rowOff>
    </xdr:from>
    <xdr:to>
      <xdr:col>7</xdr:col>
      <xdr:colOff>127</xdr:colOff>
      <xdr:row>174</xdr:row>
      <xdr:rowOff>179071</xdr:rowOff>
    </xdr:to>
    <xdr:cxnSp macro="_xll.PtreeEvent_ObjectClick">
      <xdr:nvCxnSpPr>
        <xdr:cNvPr id="341" name="PTObj_DBranchHLine_1_84">
          <a:extLst>
            <a:ext uri="{FF2B5EF4-FFF2-40B4-BE49-F238E27FC236}">
              <a16:creationId xmlns:a16="http://schemas.microsoft.com/office/drawing/2014/main" id="{2B7901FC-EF80-10B9-8A47-8BDDDDCA7380}"/>
            </a:ext>
          </a:extLst>
        </xdr:cNvPr>
        <xdr:cNvCxnSpPr/>
      </xdr:nvCxnSpPr>
      <xdr:spPr>
        <a:xfrm>
          <a:off x="11142472" y="322211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174</xdr:row>
      <xdr:rowOff>179071</xdr:rowOff>
    </xdr:from>
    <xdr:to>
      <xdr:col>6</xdr:col>
      <xdr:colOff>239522</xdr:colOff>
      <xdr:row>182</xdr:row>
      <xdr:rowOff>173992</xdr:rowOff>
    </xdr:to>
    <xdr:cxnSp macro="_xll.PtreeEvent_ObjectClick">
      <xdr:nvCxnSpPr>
        <xdr:cNvPr id="340" name="PTObj_DBranchDLine_1_84">
          <a:extLst>
            <a:ext uri="{FF2B5EF4-FFF2-40B4-BE49-F238E27FC236}">
              <a16:creationId xmlns:a16="http://schemas.microsoft.com/office/drawing/2014/main" id="{40DC4401-8104-05A3-85F1-3DCC37EFD8D0}"/>
            </a:ext>
          </a:extLst>
        </xdr:cNvPr>
        <xdr:cNvCxnSpPr/>
      </xdr:nvCxnSpPr>
      <xdr:spPr>
        <a:xfrm flipV="1">
          <a:off x="10990072" y="32221171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182</xdr:row>
      <xdr:rowOff>179071</xdr:rowOff>
    </xdr:from>
    <xdr:to>
      <xdr:col>6</xdr:col>
      <xdr:colOff>127</xdr:colOff>
      <xdr:row>182</xdr:row>
      <xdr:rowOff>179071</xdr:rowOff>
    </xdr:to>
    <xdr:cxnSp macro="_xll.PtreeEvent_ObjectClick">
      <xdr:nvCxnSpPr>
        <xdr:cNvPr id="337" name="PTObj_DBranchHLine_1_83">
          <a:extLst>
            <a:ext uri="{FF2B5EF4-FFF2-40B4-BE49-F238E27FC236}">
              <a16:creationId xmlns:a16="http://schemas.microsoft.com/office/drawing/2014/main" id="{BEB585C8-0A42-9E97-C485-37D998D6FC58}"/>
            </a:ext>
          </a:extLst>
        </xdr:cNvPr>
        <xdr:cNvCxnSpPr/>
      </xdr:nvCxnSpPr>
      <xdr:spPr>
        <a:xfrm>
          <a:off x="8856472" y="33694371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166</xdr:row>
      <xdr:rowOff>173992</xdr:rowOff>
    </xdr:from>
    <xdr:to>
      <xdr:col>5</xdr:col>
      <xdr:colOff>239522</xdr:colOff>
      <xdr:row>182</xdr:row>
      <xdr:rowOff>179071</xdr:rowOff>
    </xdr:to>
    <xdr:cxnSp macro="_xll.PtreeEvent_ObjectClick">
      <xdr:nvCxnSpPr>
        <xdr:cNvPr id="336" name="PTObj_DBranchDLine_1_83">
          <a:extLst>
            <a:ext uri="{FF2B5EF4-FFF2-40B4-BE49-F238E27FC236}">
              <a16:creationId xmlns:a16="http://schemas.microsoft.com/office/drawing/2014/main" id="{2C731842-122F-6677-2D46-4F35502265E3}"/>
            </a:ext>
          </a:extLst>
        </xdr:cNvPr>
        <xdr:cNvCxnSpPr/>
      </xdr:nvCxnSpPr>
      <xdr:spPr>
        <a:xfrm>
          <a:off x="8704072" y="30742892"/>
          <a:ext cx="152400" cy="29514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164</xdr:row>
      <xdr:rowOff>179071</xdr:rowOff>
    </xdr:from>
    <xdr:to>
      <xdr:col>9</xdr:col>
      <xdr:colOff>127</xdr:colOff>
      <xdr:row>164</xdr:row>
      <xdr:rowOff>179071</xdr:rowOff>
    </xdr:to>
    <xdr:cxnSp macro="_xll.PtreeEvent_ObjectClick">
      <xdr:nvCxnSpPr>
        <xdr:cNvPr id="333" name="PTObj_DBranchHLine_1_82">
          <a:extLst>
            <a:ext uri="{FF2B5EF4-FFF2-40B4-BE49-F238E27FC236}">
              <a16:creationId xmlns:a16="http://schemas.microsoft.com/office/drawing/2014/main" id="{9C635131-2DBD-E010-C805-A6CDDAAD7EC1}"/>
            </a:ext>
          </a:extLst>
        </xdr:cNvPr>
        <xdr:cNvCxnSpPr/>
      </xdr:nvCxnSpPr>
      <xdr:spPr>
        <a:xfrm>
          <a:off x="14438122" y="30379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162</xdr:row>
      <xdr:rowOff>173992</xdr:rowOff>
    </xdr:from>
    <xdr:to>
      <xdr:col>8</xdr:col>
      <xdr:colOff>239522</xdr:colOff>
      <xdr:row>164</xdr:row>
      <xdr:rowOff>179071</xdr:rowOff>
    </xdr:to>
    <xdr:cxnSp macro="_xll.PtreeEvent_ObjectClick">
      <xdr:nvCxnSpPr>
        <xdr:cNvPr id="332" name="PTObj_DBranchDLine_1_82">
          <a:extLst>
            <a:ext uri="{FF2B5EF4-FFF2-40B4-BE49-F238E27FC236}">
              <a16:creationId xmlns:a16="http://schemas.microsoft.com/office/drawing/2014/main" id="{D8356D3F-5867-99AD-E547-F70BEF254AEA}"/>
            </a:ext>
          </a:extLst>
        </xdr:cNvPr>
        <xdr:cNvCxnSpPr/>
      </xdr:nvCxnSpPr>
      <xdr:spPr>
        <a:xfrm>
          <a:off x="14285722" y="300062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160</xdr:row>
      <xdr:rowOff>179071</xdr:rowOff>
    </xdr:from>
    <xdr:to>
      <xdr:col>9</xdr:col>
      <xdr:colOff>127</xdr:colOff>
      <xdr:row>160</xdr:row>
      <xdr:rowOff>179071</xdr:rowOff>
    </xdr:to>
    <xdr:cxnSp macro="_xll.PtreeEvent_ObjectClick">
      <xdr:nvCxnSpPr>
        <xdr:cNvPr id="329" name="PTObj_DBranchHLine_1_81">
          <a:extLst>
            <a:ext uri="{FF2B5EF4-FFF2-40B4-BE49-F238E27FC236}">
              <a16:creationId xmlns:a16="http://schemas.microsoft.com/office/drawing/2014/main" id="{8BDCCD24-1777-87D3-15E5-FB1736A0E73B}"/>
            </a:ext>
          </a:extLst>
        </xdr:cNvPr>
        <xdr:cNvCxnSpPr/>
      </xdr:nvCxnSpPr>
      <xdr:spPr>
        <a:xfrm>
          <a:off x="14438122" y="296430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160</xdr:row>
      <xdr:rowOff>179071</xdr:rowOff>
    </xdr:from>
    <xdr:to>
      <xdr:col>8</xdr:col>
      <xdr:colOff>239522</xdr:colOff>
      <xdr:row>162</xdr:row>
      <xdr:rowOff>173992</xdr:rowOff>
    </xdr:to>
    <xdr:cxnSp macro="_xll.PtreeEvent_ObjectClick">
      <xdr:nvCxnSpPr>
        <xdr:cNvPr id="328" name="PTObj_DBranchDLine_1_81">
          <a:extLst>
            <a:ext uri="{FF2B5EF4-FFF2-40B4-BE49-F238E27FC236}">
              <a16:creationId xmlns:a16="http://schemas.microsoft.com/office/drawing/2014/main" id="{14C9ECD2-0D84-8604-E44C-F14978DD77C1}"/>
            </a:ext>
          </a:extLst>
        </xdr:cNvPr>
        <xdr:cNvCxnSpPr/>
      </xdr:nvCxnSpPr>
      <xdr:spPr>
        <a:xfrm flipV="1">
          <a:off x="14285722" y="296430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162</xdr:row>
      <xdr:rowOff>179071</xdr:rowOff>
    </xdr:from>
    <xdr:to>
      <xdr:col>8</xdr:col>
      <xdr:colOff>127</xdr:colOff>
      <xdr:row>162</xdr:row>
      <xdr:rowOff>179071</xdr:rowOff>
    </xdr:to>
    <xdr:cxnSp macro="_xll.PtreeEvent_ObjectClick">
      <xdr:nvCxnSpPr>
        <xdr:cNvPr id="325" name="PTObj_DBranchHLine_1_80">
          <a:extLst>
            <a:ext uri="{FF2B5EF4-FFF2-40B4-BE49-F238E27FC236}">
              <a16:creationId xmlns:a16="http://schemas.microsoft.com/office/drawing/2014/main" id="{A0940C7F-D7D3-4B25-C662-98CD7E328DFF}"/>
            </a:ext>
          </a:extLst>
        </xdr:cNvPr>
        <xdr:cNvCxnSpPr/>
      </xdr:nvCxnSpPr>
      <xdr:spPr>
        <a:xfrm>
          <a:off x="12749022" y="300113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158</xdr:row>
      <xdr:rowOff>173992</xdr:rowOff>
    </xdr:from>
    <xdr:to>
      <xdr:col>7</xdr:col>
      <xdr:colOff>239522</xdr:colOff>
      <xdr:row>162</xdr:row>
      <xdr:rowOff>179071</xdr:rowOff>
    </xdr:to>
    <xdr:cxnSp macro="_xll.PtreeEvent_ObjectClick">
      <xdr:nvCxnSpPr>
        <xdr:cNvPr id="324" name="PTObj_DBranchDLine_1_80">
          <a:extLst>
            <a:ext uri="{FF2B5EF4-FFF2-40B4-BE49-F238E27FC236}">
              <a16:creationId xmlns:a16="http://schemas.microsoft.com/office/drawing/2014/main" id="{125F7A66-C628-BE38-A488-AF461C24D28F}"/>
            </a:ext>
          </a:extLst>
        </xdr:cNvPr>
        <xdr:cNvCxnSpPr/>
      </xdr:nvCxnSpPr>
      <xdr:spPr>
        <a:xfrm>
          <a:off x="12596622" y="292696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156</xdr:row>
      <xdr:rowOff>179071</xdr:rowOff>
    </xdr:from>
    <xdr:to>
      <xdr:col>9</xdr:col>
      <xdr:colOff>127</xdr:colOff>
      <xdr:row>156</xdr:row>
      <xdr:rowOff>179071</xdr:rowOff>
    </xdr:to>
    <xdr:cxnSp macro="_xll.PtreeEvent_ObjectClick">
      <xdr:nvCxnSpPr>
        <xdr:cNvPr id="321" name="PTObj_DBranchHLine_1_79">
          <a:extLst>
            <a:ext uri="{FF2B5EF4-FFF2-40B4-BE49-F238E27FC236}">
              <a16:creationId xmlns:a16="http://schemas.microsoft.com/office/drawing/2014/main" id="{503C371F-39A0-1807-5655-362B5B7FDDFC}"/>
            </a:ext>
          </a:extLst>
        </xdr:cNvPr>
        <xdr:cNvCxnSpPr/>
      </xdr:nvCxnSpPr>
      <xdr:spPr>
        <a:xfrm>
          <a:off x="14438122" y="289064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154</xdr:row>
      <xdr:rowOff>173992</xdr:rowOff>
    </xdr:from>
    <xdr:to>
      <xdr:col>8</xdr:col>
      <xdr:colOff>239522</xdr:colOff>
      <xdr:row>156</xdr:row>
      <xdr:rowOff>179071</xdr:rowOff>
    </xdr:to>
    <xdr:cxnSp macro="_xll.PtreeEvent_ObjectClick">
      <xdr:nvCxnSpPr>
        <xdr:cNvPr id="320" name="PTObj_DBranchDLine_1_79">
          <a:extLst>
            <a:ext uri="{FF2B5EF4-FFF2-40B4-BE49-F238E27FC236}">
              <a16:creationId xmlns:a16="http://schemas.microsoft.com/office/drawing/2014/main" id="{59A9B2E5-35EB-C45A-ED1A-F44904094D5C}"/>
            </a:ext>
          </a:extLst>
        </xdr:cNvPr>
        <xdr:cNvCxnSpPr/>
      </xdr:nvCxnSpPr>
      <xdr:spPr>
        <a:xfrm>
          <a:off x="14285722" y="285330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152</xdr:row>
      <xdr:rowOff>179071</xdr:rowOff>
    </xdr:from>
    <xdr:to>
      <xdr:col>9</xdr:col>
      <xdr:colOff>127</xdr:colOff>
      <xdr:row>152</xdr:row>
      <xdr:rowOff>179071</xdr:rowOff>
    </xdr:to>
    <xdr:cxnSp macro="_xll.PtreeEvent_ObjectClick">
      <xdr:nvCxnSpPr>
        <xdr:cNvPr id="317" name="PTObj_DBranchHLine_1_78">
          <a:extLst>
            <a:ext uri="{FF2B5EF4-FFF2-40B4-BE49-F238E27FC236}">
              <a16:creationId xmlns:a16="http://schemas.microsoft.com/office/drawing/2014/main" id="{0160B6B9-B1FB-059E-9333-20395EBAC873}"/>
            </a:ext>
          </a:extLst>
        </xdr:cNvPr>
        <xdr:cNvCxnSpPr/>
      </xdr:nvCxnSpPr>
      <xdr:spPr>
        <a:xfrm>
          <a:off x="14438122" y="281698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152</xdr:row>
      <xdr:rowOff>179071</xdr:rowOff>
    </xdr:from>
    <xdr:to>
      <xdr:col>8</xdr:col>
      <xdr:colOff>239522</xdr:colOff>
      <xdr:row>154</xdr:row>
      <xdr:rowOff>173992</xdr:rowOff>
    </xdr:to>
    <xdr:cxnSp macro="_xll.PtreeEvent_ObjectClick">
      <xdr:nvCxnSpPr>
        <xdr:cNvPr id="316" name="PTObj_DBranchDLine_1_78">
          <a:extLst>
            <a:ext uri="{FF2B5EF4-FFF2-40B4-BE49-F238E27FC236}">
              <a16:creationId xmlns:a16="http://schemas.microsoft.com/office/drawing/2014/main" id="{6FF29A38-043A-D651-508D-C5192F24E15E}"/>
            </a:ext>
          </a:extLst>
        </xdr:cNvPr>
        <xdr:cNvCxnSpPr/>
      </xdr:nvCxnSpPr>
      <xdr:spPr>
        <a:xfrm flipV="1">
          <a:off x="14285722" y="281698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154</xdr:row>
      <xdr:rowOff>179071</xdr:rowOff>
    </xdr:from>
    <xdr:to>
      <xdr:col>8</xdr:col>
      <xdr:colOff>127</xdr:colOff>
      <xdr:row>154</xdr:row>
      <xdr:rowOff>179071</xdr:rowOff>
    </xdr:to>
    <xdr:cxnSp macro="_xll.PtreeEvent_ObjectClick">
      <xdr:nvCxnSpPr>
        <xdr:cNvPr id="313" name="PTObj_DBranchHLine_1_77">
          <a:extLst>
            <a:ext uri="{FF2B5EF4-FFF2-40B4-BE49-F238E27FC236}">
              <a16:creationId xmlns:a16="http://schemas.microsoft.com/office/drawing/2014/main" id="{6EAC7BAE-D4DC-F394-2840-5BB12122617F}"/>
            </a:ext>
          </a:extLst>
        </xdr:cNvPr>
        <xdr:cNvCxnSpPr/>
      </xdr:nvCxnSpPr>
      <xdr:spPr>
        <a:xfrm>
          <a:off x="12749022" y="285381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154</xdr:row>
      <xdr:rowOff>179071</xdr:rowOff>
    </xdr:from>
    <xdr:to>
      <xdr:col>7</xdr:col>
      <xdr:colOff>239522</xdr:colOff>
      <xdr:row>158</xdr:row>
      <xdr:rowOff>173992</xdr:rowOff>
    </xdr:to>
    <xdr:cxnSp macro="_xll.PtreeEvent_ObjectClick">
      <xdr:nvCxnSpPr>
        <xdr:cNvPr id="312" name="PTObj_DBranchDLine_1_77">
          <a:extLst>
            <a:ext uri="{FF2B5EF4-FFF2-40B4-BE49-F238E27FC236}">
              <a16:creationId xmlns:a16="http://schemas.microsoft.com/office/drawing/2014/main" id="{70FAC00B-F20D-8FDD-0A7E-3C41314F9A13}"/>
            </a:ext>
          </a:extLst>
        </xdr:cNvPr>
        <xdr:cNvCxnSpPr/>
      </xdr:nvCxnSpPr>
      <xdr:spPr>
        <a:xfrm flipV="1">
          <a:off x="12596622" y="285381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158</xdr:row>
      <xdr:rowOff>179071</xdr:rowOff>
    </xdr:from>
    <xdr:to>
      <xdr:col>7</xdr:col>
      <xdr:colOff>127</xdr:colOff>
      <xdr:row>158</xdr:row>
      <xdr:rowOff>179071</xdr:rowOff>
    </xdr:to>
    <xdr:cxnSp macro="_xll.PtreeEvent_ObjectClick">
      <xdr:nvCxnSpPr>
        <xdr:cNvPr id="309" name="PTObj_DBranchHLine_1_76">
          <a:extLst>
            <a:ext uri="{FF2B5EF4-FFF2-40B4-BE49-F238E27FC236}">
              <a16:creationId xmlns:a16="http://schemas.microsoft.com/office/drawing/2014/main" id="{26E04895-84A5-FB5D-84A0-2DBB462D1FD3}"/>
            </a:ext>
          </a:extLst>
        </xdr:cNvPr>
        <xdr:cNvCxnSpPr/>
      </xdr:nvCxnSpPr>
      <xdr:spPr>
        <a:xfrm>
          <a:off x="11142472" y="292747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150</xdr:row>
      <xdr:rowOff>173992</xdr:rowOff>
    </xdr:from>
    <xdr:to>
      <xdr:col>6</xdr:col>
      <xdr:colOff>239522</xdr:colOff>
      <xdr:row>158</xdr:row>
      <xdr:rowOff>179071</xdr:rowOff>
    </xdr:to>
    <xdr:cxnSp macro="_xll.PtreeEvent_ObjectClick">
      <xdr:nvCxnSpPr>
        <xdr:cNvPr id="308" name="PTObj_DBranchDLine_1_76">
          <a:extLst>
            <a:ext uri="{FF2B5EF4-FFF2-40B4-BE49-F238E27FC236}">
              <a16:creationId xmlns:a16="http://schemas.microsoft.com/office/drawing/2014/main" id="{D9A431BA-09B4-A3BD-06A4-1513074BD2CE}"/>
            </a:ext>
          </a:extLst>
        </xdr:cNvPr>
        <xdr:cNvCxnSpPr/>
      </xdr:nvCxnSpPr>
      <xdr:spPr>
        <a:xfrm>
          <a:off x="10990072" y="277964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148</xdr:row>
      <xdr:rowOff>179071</xdr:rowOff>
    </xdr:from>
    <xdr:to>
      <xdr:col>9</xdr:col>
      <xdr:colOff>127</xdr:colOff>
      <xdr:row>148</xdr:row>
      <xdr:rowOff>179071</xdr:rowOff>
    </xdr:to>
    <xdr:cxnSp macro="_xll.PtreeEvent_ObjectClick">
      <xdr:nvCxnSpPr>
        <xdr:cNvPr id="305" name="PTObj_DBranchHLine_1_75">
          <a:extLst>
            <a:ext uri="{FF2B5EF4-FFF2-40B4-BE49-F238E27FC236}">
              <a16:creationId xmlns:a16="http://schemas.microsoft.com/office/drawing/2014/main" id="{5FC85813-6C23-B31E-A7FE-A4CD02D0C9E5}"/>
            </a:ext>
          </a:extLst>
        </xdr:cNvPr>
        <xdr:cNvCxnSpPr/>
      </xdr:nvCxnSpPr>
      <xdr:spPr>
        <a:xfrm>
          <a:off x="14438122" y="274332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146</xdr:row>
      <xdr:rowOff>173992</xdr:rowOff>
    </xdr:from>
    <xdr:to>
      <xdr:col>8</xdr:col>
      <xdr:colOff>239522</xdr:colOff>
      <xdr:row>148</xdr:row>
      <xdr:rowOff>179071</xdr:rowOff>
    </xdr:to>
    <xdr:cxnSp macro="_xll.PtreeEvent_ObjectClick">
      <xdr:nvCxnSpPr>
        <xdr:cNvPr id="304" name="PTObj_DBranchDLine_1_75">
          <a:extLst>
            <a:ext uri="{FF2B5EF4-FFF2-40B4-BE49-F238E27FC236}">
              <a16:creationId xmlns:a16="http://schemas.microsoft.com/office/drawing/2014/main" id="{FB948E72-73F4-464F-B4B4-270C534EF9C9}"/>
            </a:ext>
          </a:extLst>
        </xdr:cNvPr>
        <xdr:cNvCxnSpPr/>
      </xdr:nvCxnSpPr>
      <xdr:spPr>
        <a:xfrm>
          <a:off x="14285722" y="270598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144</xdr:row>
      <xdr:rowOff>179071</xdr:rowOff>
    </xdr:from>
    <xdr:to>
      <xdr:col>9</xdr:col>
      <xdr:colOff>127</xdr:colOff>
      <xdr:row>144</xdr:row>
      <xdr:rowOff>179071</xdr:rowOff>
    </xdr:to>
    <xdr:cxnSp macro="_xll.PtreeEvent_ObjectClick">
      <xdr:nvCxnSpPr>
        <xdr:cNvPr id="301" name="PTObj_DBranchHLine_1_74">
          <a:extLst>
            <a:ext uri="{FF2B5EF4-FFF2-40B4-BE49-F238E27FC236}">
              <a16:creationId xmlns:a16="http://schemas.microsoft.com/office/drawing/2014/main" id="{425631DC-6964-CBBC-905D-34EA0B393224}"/>
            </a:ext>
          </a:extLst>
        </xdr:cNvPr>
        <xdr:cNvCxnSpPr/>
      </xdr:nvCxnSpPr>
      <xdr:spPr>
        <a:xfrm>
          <a:off x="14438122" y="26696671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144</xdr:row>
      <xdr:rowOff>179071</xdr:rowOff>
    </xdr:from>
    <xdr:to>
      <xdr:col>8</xdr:col>
      <xdr:colOff>239522</xdr:colOff>
      <xdr:row>146</xdr:row>
      <xdr:rowOff>173992</xdr:rowOff>
    </xdr:to>
    <xdr:cxnSp macro="_xll.PtreeEvent_ObjectClick">
      <xdr:nvCxnSpPr>
        <xdr:cNvPr id="300" name="PTObj_DBranchDLine_1_74">
          <a:extLst>
            <a:ext uri="{FF2B5EF4-FFF2-40B4-BE49-F238E27FC236}">
              <a16:creationId xmlns:a16="http://schemas.microsoft.com/office/drawing/2014/main" id="{C0A4368C-E1E5-1887-A151-8E3C3B166258}"/>
            </a:ext>
          </a:extLst>
        </xdr:cNvPr>
        <xdr:cNvCxnSpPr/>
      </xdr:nvCxnSpPr>
      <xdr:spPr>
        <a:xfrm flipV="1">
          <a:off x="14285722" y="266966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146</xdr:row>
      <xdr:rowOff>179071</xdr:rowOff>
    </xdr:from>
    <xdr:to>
      <xdr:col>8</xdr:col>
      <xdr:colOff>127</xdr:colOff>
      <xdr:row>146</xdr:row>
      <xdr:rowOff>179071</xdr:rowOff>
    </xdr:to>
    <xdr:cxnSp macro="_xll.PtreeEvent_ObjectClick">
      <xdr:nvCxnSpPr>
        <xdr:cNvPr id="297" name="PTObj_DBranchHLine_1_73">
          <a:extLst>
            <a:ext uri="{FF2B5EF4-FFF2-40B4-BE49-F238E27FC236}">
              <a16:creationId xmlns:a16="http://schemas.microsoft.com/office/drawing/2014/main" id="{36056FFD-AA89-27D3-EC18-A02D8CE1767D}"/>
            </a:ext>
          </a:extLst>
        </xdr:cNvPr>
        <xdr:cNvCxnSpPr/>
      </xdr:nvCxnSpPr>
      <xdr:spPr>
        <a:xfrm>
          <a:off x="12749022" y="27064971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142</xdr:row>
      <xdr:rowOff>173992</xdr:rowOff>
    </xdr:from>
    <xdr:to>
      <xdr:col>7</xdr:col>
      <xdr:colOff>239522</xdr:colOff>
      <xdr:row>146</xdr:row>
      <xdr:rowOff>179071</xdr:rowOff>
    </xdr:to>
    <xdr:cxnSp macro="_xll.PtreeEvent_ObjectClick">
      <xdr:nvCxnSpPr>
        <xdr:cNvPr id="296" name="PTObj_DBranchDLine_1_73">
          <a:extLst>
            <a:ext uri="{FF2B5EF4-FFF2-40B4-BE49-F238E27FC236}">
              <a16:creationId xmlns:a16="http://schemas.microsoft.com/office/drawing/2014/main" id="{C35E3459-9DB6-0B0C-E32C-B36A4FADD9BF}"/>
            </a:ext>
          </a:extLst>
        </xdr:cNvPr>
        <xdr:cNvCxnSpPr/>
      </xdr:nvCxnSpPr>
      <xdr:spPr>
        <a:xfrm>
          <a:off x="12596622" y="263232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140</xdr:row>
      <xdr:rowOff>179070</xdr:rowOff>
    </xdr:from>
    <xdr:to>
      <xdr:col>9</xdr:col>
      <xdr:colOff>127</xdr:colOff>
      <xdr:row>140</xdr:row>
      <xdr:rowOff>179070</xdr:rowOff>
    </xdr:to>
    <xdr:cxnSp macro="_xll.PtreeEvent_ObjectClick">
      <xdr:nvCxnSpPr>
        <xdr:cNvPr id="293" name="PTObj_DBranchHLine_1_72">
          <a:extLst>
            <a:ext uri="{FF2B5EF4-FFF2-40B4-BE49-F238E27FC236}">
              <a16:creationId xmlns:a16="http://schemas.microsoft.com/office/drawing/2014/main" id="{513255AD-7CB3-67EB-0DD6-43DBD7F11312}"/>
            </a:ext>
          </a:extLst>
        </xdr:cNvPr>
        <xdr:cNvCxnSpPr/>
      </xdr:nvCxnSpPr>
      <xdr:spPr>
        <a:xfrm>
          <a:off x="14438122" y="25960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138</xdr:row>
      <xdr:rowOff>173991</xdr:rowOff>
    </xdr:from>
    <xdr:to>
      <xdr:col>8</xdr:col>
      <xdr:colOff>239522</xdr:colOff>
      <xdr:row>140</xdr:row>
      <xdr:rowOff>179070</xdr:rowOff>
    </xdr:to>
    <xdr:cxnSp macro="_xll.PtreeEvent_ObjectClick">
      <xdr:nvCxnSpPr>
        <xdr:cNvPr id="292" name="PTObj_DBranchDLine_1_72">
          <a:extLst>
            <a:ext uri="{FF2B5EF4-FFF2-40B4-BE49-F238E27FC236}">
              <a16:creationId xmlns:a16="http://schemas.microsoft.com/office/drawing/2014/main" id="{67F11194-8854-8192-C795-CDB1AED36AF6}"/>
            </a:ext>
          </a:extLst>
        </xdr:cNvPr>
        <xdr:cNvCxnSpPr/>
      </xdr:nvCxnSpPr>
      <xdr:spPr>
        <a:xfrm>
          <a:off x="14285722" y="255866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136</xdr:row>
      <xdr:rowOff>179070</xdr:rowOff>
    </xdr:from>
    <xdr:to>
      <xdr:col>9</xdr:col>
      <xdr:colOff>127</xdr:colOff>
      <xdr:row>136</xdr:row>
      <xdr:rowOff>179070</xdr:rowOff>
    </xdr:to>
    <xdr:cxnSp macro="_xll.PtreeEvent_ObjectClick">
      <xdr:nvCxnSpPr>
        <xdr:cNvPr id="289" name="PTObj_DBranchHLine_1_71">
          <a:extLst>
            <a:ext uri="{FF2B5EF4-FFF2-40B4-BE49-F238E27FC236}">
              <a16:creationId xmlns:a16="http://schemas.microsoft.com/office/drawing/2014/main" id="{C502A95B-0B96-890B-B971-5C8E9083940C}"/>
            </a:ext>
          </a:extLst>
        </xdr:cNvPr>
        <xdr:cNvCxnSpPr/>
      </xdr:nvCxnSpPr>
      <xdr:spPr>
        <a:xfrm>
          <a:off x="14438122" y="25223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136</xdr:row>
      <xdr:rowOff>179070</xdr:rowOff>
    </xdr:from>
    <xdr:to>
      <xdr:col>8</xdr:col>
      <xdr:colOff>239522</xdr:colOff>
      <xdr:row>138</xdr:row>
      <xdr:rowOff>173991</xdr:rowOff>
    </xdr:to>
    <xdr:cxnSp macro="_xll.PtreeEvent_ObjectClick">
      <xdr:nvCxnSpPr>
        <xdr:cNvPr id="288" name="PTObj_DBranchDLine_1_71">
          <a:extLst>
            <a:ext uri="{FF2B5EF4-FFF2-40B4-BE49-F238E27FC236}">
              <a16:creationId xmlns:a16="http://schemas.microsoft.com/office/drawing/2014/main" id="{C161FBDB-DC34-C57E-D0B1-2DFC38757A4D}"/>
            </a:ext>
          </a:extLst>
        </xdr:cNvPr>
        <xdr:cNvCxnSpPr/>
      </xdr:nvCxnSpPr>
      <xdr:spPr>
        <a:xfrm flipV="1">
          <a:off x="14285722" y="252234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138</xdr:row>
      <xdr:rowOff>179070</xdr:rowOff>
    </xdr:from>
    <xdr:to>
      <xdr:col>8</xdr:col>
      <xdr:colOff>127</xdr:colOff>
      <xdr:row>138</xdr:row>
      <xdr:rowOff>179070</xdr:rowOff>
    </xdr:to>
    <xdr:cxnSp macro="_xll.PtreeEvent_ObjectClick">
      <xdr:nvCxnSpPr>
        <xdr:cNvPr id="285" name="PTObj_DBranchHLine_1_70">
          <a:extLst>
            <a:ext uri="{FF2B5EF4-FFF2-40B4-BE49-F238E27FC236}">
              <a16:creationId xmlns:a16="http://schemas.microsoft.com/office/drawing/2014/main" id="{0846225B-6206-13D1-658A-CD02997F2313}"/>
            </a:ext>
          </a:extLst>
        </xdr:cNvPr>
        <xdr:cNvCxnSpPr/>
      </xdr:nvCxnSpPr>
      <xdr:spPr>
        <a:xfrm>
          <a:off x="12749022" y="255917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138</xdr:row>
      <xdr:rowOff>179070</xdr:rowOff>
    </xdr:from>
    <xdr:to>
      <xdr:col>7</xdr:col>
      <xdr:colOff>239522</xdr:colOff>
      <xdr:row>142</xdr:row>
      <xdr:rowOff>173992</xdr:rowOff>
    </xdr:to>
    <xdr:cxnSp macro="_xll.PtreeEvent_ObjectClick">
      <xdr:nvCxnSpPr>
        <xdr:cNvPr id="284" name="PTObj_DBranchDLine_1_70">
          <a:extLst>
            <a:ext uri="{FF2B5EF4-FFF2-40B4-BE49-F238E27FC236}">
              <a16:creationId xmlns:a16="http://schemas.microsoft.com/office/drawing/2014/main" id="{B137D944-8CBA-FD18-1BDB-ED7821FEAA7A}"/>
            </a:ext>
          </a:extLst>
        </xdr:cNvPr>
        <xdr:cNvCxnSpPr/>
      </xdr:nvCxnSpPr>
      <xdr:spPr>
        <a:xfrm flipV="1">
          <a:off x="12596622" y="25591770"/>
          <a:ext cx="152400" cy="73152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142</xdr:row>
      <xdr:rowOff>179071</xdr:rowOff>
    </xdr:from>
    <xdr:to>
      <xdr:col>7</xdr:col>
      <xdr:colOff>127</xdr:colOff>
      <xdr:row>142</xdr:row>
      <xdr:rowOff>179071</xdr:rowOff>
    </xdr:to>
    <xdr:cxnSp macro="_xll.PtreeEvent_ObjectClick">
      <xdr:nvCxnSpPr>
        <xdr:cNvPr id="281" name="PTObj_DBranchHLine_1_69">
          <a:extLst>
            <a:ext uri="{FF2B5EF4-FFF2-40B4-BE49-F238E27FC236}">
              <a16:creationId xmlns:a16="http://schemas.microsoft.com/office/drawing/2014/main" id="{F107E7B4-51C0-8388-B8BA-B686D5C318F8}"/>
            </a:ext>
          </a:extLst>
        </xdr:cNvPr>
        <xdr:cNvCxnSpPr/>
      </xdr:nvCxnSpPr>
      <xdr:spPr>
        <a:xfrm>
          <a:off x="11142472" y="26328371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142</xdr:row>
      <xdr:rowOff>179071</xdr:rowOff>
    </xdr:from>
    <xdr:to>
      <xdr:col>6</xdr:col>
      <xdr:colOff>239522</xdr:colOff>
      <xdr:row>150</xdr:row>
      <xdr:rowOff>173992</xdr:rowOff>
    </xdr:to>
    <xdr:cxnSp macro="_xll.PtreeEvent_ObjectClick">
      <xdr:nvCxnSpPr>
        <xdr:cNvPr id="280" name="PTObj_DBranchDLine_1_69">
          <a:extLst>
            <a:ext uri="{FF2B5EF4-FFF2-40B4-BE49-F238E27FC236}">
              <a16:creationId xmlns:a16="http://schemas.microsoft.com/office/drawing/2014/main" id="{869BBE65-B201-F200-B0D8-CE45BFAD50EE}"/>
            </a:ext>
          </a:extLst>
        </xdr:cNvPr>
        <xdr:cNvCxnSpPr/>
      </xdr:nvCxnSpPr>
      <xdr:spPr>
        <a:xfrm flipV="1">
          <a:off x="10990072" y="26328371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150</xdr:row>
      <xdr:rowOff>179071</xdr:rowOff>
    </xdr:from>
    <xdr:to>
      <xdr:col>6</xdr:col>
      <xdr:colOff>127</xdr:colOff>
      <xdr:row>150</xdr:row>
      <xdr:rowOff>179071</xdr:rowOff>
    </xdr:to>
    <xdr:cxnSp macro="_xll.PtreeEvent_ObjectClick">
      <xdr:nvCxnSpPr>
        <xdr:cNvPr id="277" name="PTObj_DBranchHLine_1_68">
          <a:extLst>
            <a:ext uri="{FF2B5EF4-FFF2-40B4-BE49-F238E27FC236}">
              <a16:creationId xmlns:a16="http://schemas.microsoft.com/office/drawing/2014/main" id="{F1B5F03A-5A2A-9BBA-ED4E-D983CAF09833}"/>
            </a:ext>
          </a:extLst>
        </xdr:cNvPr>
        <xdr:cNvCxnSpPr/>
      </xdr:nvCxnSpPr>
      <xdr:spPr>
        <a:xfrm>
          <a:off x="8856472" y="27801571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150</xdr:row>
      <xdr:rowOff>179071</xdr:rowOff>
    </xdr:from>
    <xdr:to>
      <xdr:col>5</xdr:col>
      <xdr:colOff>239522</xdr:colOff>
      <xdr:row>166</xdr:row>
      <xdr:rowOff>173992</xdr:rowOff>
    </xdr:to>
    <xdr:cxnSp macro="_xll.PtreeEvent_ObjectClick">
      <xdr:nvCxnSpPr>
        <xdr:cNvPr id="276" name="PTObj_DBranchDLine_1_68">
          <a:extLst>
            <a:ext uri="{FF2B5EF4-FFF2-40B4-BE49-F238E27FC236}">
              <a16:creationId xmlns:a16="http://schemas.microsoft.com/office/drawing/2014/main" id="{FB8A83E3-264D-5272-7658-4F85B350BF3E}"/>
            </a:ext>
          </a:extLst>
        </xdr:cNvPr>
        <xdr:cNvCxnSpPr/>
      </xdr:nvCxnSpPr>
      <xdr:spPr>
        <a:xfrm flipV="1">
          <a:off x="8704072" y="27801571"/>
          <a:ext cx="152400" cy="29413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166</xdr:row>
      <xdr:rowOff>179071</xdr:rowOff>
    </xdr:from>
    <xdr:to>
      <xdr:col>5</xdr:col>
      <xdr:colOff>127</xdr:colOff>
      <xdr:row>166</xdr:row>
      <xdr:rowOff>179071</xdr:rowOff>
    </xdr:to>
    <xdr:cxnSp macro="_xll.PtreeEvent_ObjectClick">
      <xdr:nvCxnSpPr>
        <xdr:cNvPr id="273" name="PTObj_DBranchHLine_1_67">
          <a:extLst>
            <a:ext uri="{FF2B5EF4-FFF2-40B4-BE49-F238E27FC236}">
              <a16:creationId xmlns:a16="http://schemas.microsoft.com/office/drawing/2014/main" id="{066CEB77-97D7-80D7-A255-5B1FE88F9697}"/>
            </a:ext>
          </a:extLst>
        </xdr:cNvPr>
        <xdr:cNvCxnSpPr/>
      </xdr:nvCxnSpPr>
      <xdr:spPr>
        <a:xfrm>
          <a:off x="6589522" y="30747971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166</xdr:row>
      <xdr:rowOff>179071</xdr:rowOff>
    </xdr:from>
    <xdr:to>
      <xdr:col>4</xdr:col>
      <xdr:colOff>239522</xdr:colOff>
      <xdr:row>198</xdr:row>
      <xdr:rowOff>173992</xdr:rowOff>
    </xdr:to>
    <xdr:cxnSp macro="_xll.PtreeEvent_ObjectClick">
      <xdr:nvCxnSpPr>
        <xdr:cNvPr id="272" name="PTObj_DBranchDLine_1_67">
          <a:extLst>
            <a:ext uri="{FF2B5EF4-FFF2-40B4-BE49-F238E27FC236}">
              <a16:creationId xmlns:a16="http://schemas.microsoft.com/office/drawing/2014/main" id="{35DBE41A-2348-7595-9E21-2D7B3A1C3CD2}"/>
            </a:ext>
          </a:extLst>
        </xdr:cNvPr>
        <xdr:cNvCxnSpPr/>
      </xdr:nvCxnSpPr>
      <xdr:spPr>
        <a:xfrm flipV="1">
          <a:off x="6437122" y="30747971"/>
          <a:ext cx="152400" cy="58877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198</xdr:row>
      <xdr:rowOff>179071</xdr:rowOff>
    </xdr:from>
    <xdr:to>
      <xdr:col>4</xdr:col>
      <xdr:colOff>127</xdr:colOff>
      <xdr:row>198</xdr:row>
      <xdr:rowOff>179071</xdr:rowOff>
    </xdr:to>
    <xdr:cxnSp macro="_xll.PtreeEvent_ObjectClick">
      <xdr:nvCxnSpPr>
        <xdr:cNvPr id="269" name="PTObj_DBranchHLine_1_66">
          <a:extLst>
            <a:ext uri="{FF2B5EF4-FFF2-40B4-BE49-F238E27FC236}">
              <a16:creationId xmlns:a16="http://schemas.microsoft.com/office/drawing/2014/main" id="{650B97C1-FC64-6517-1BD1-0E2F31BCCFEA}"/>
            </a:ext>
          </a:extLst>
        </xdr:cNvPr>
        <xdr:cNvCxnSpPr/>
      </xdr:nvCxnSpPr>
      <xdr:spPr>
        <a:xfrm>
          <a:off x="4157472" y="36640771"/>
          <a:ext cx="219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134</xdr:row>
      <xdr:rowOff>173991</xdr:rowOff>
    </xdr:from>
    <xdr:to>
      <xdr:col>3</xdr:col>
      <xdr:colOff>239522</xdr:colOff>
      <xdr:row>198</xdr:row>
      <xdr:rowOff>179071</xdr:rowOff>
    </xdr:to>
    <xdr:cxnSp macro="_xll.PtreeEvent_ObjectClick">
      <xdr:nvCxnSpPr>
        <xdr:cNvPr id="268" name="PTObj_DBranchDLine_1_66">
          <a:extLst>
            <a:ext uri="{FF2B5EF4-FFF2-40B4-BE49-F238E27FC236}">
              <a16:creationId xmlns:a16="http://schemas.microsoft.com/office/drawing/2014/main" id="{4DE560E4-DEB9-8FF7-D153-2BF6DBF4ECA5}"/>
            </a:ext>
          </a:extLst>
        </xdr:cNvPr>
        <xdr:cNvCxnSpPr/>
      </xdr:nvCxnSpPr>
      <xdr:spPr>
        <a:xfrm>
          <a:off x="4005072" y="24850091"/>
          <a:ext cx="152400" cy="1179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132</xdr:row>
      <xdr:rowOff>179070</xdr:rowOff>
    </xdr:from>
    <xdr:to>
      <xdr:col>9</xdr:col>
      <xdr:colOff>127</xdr:colOff>
      <xdr:row>132</xdr:row>
      <xdr:rowOff>179070</xdr:rowOff>
    </xdr:to>
    <xdr:cxnSp macro="_xll.PtreeEvent_ObjectClick">
      <xdr:nvCxnSpPr>
        <xdr:cNvPr id="265" name="PTObj_DBranchHLine_1_65">
          <a:extLst>
            <a:ext uri="{FF2B5EF4-FFF2-40B4-BE49-F238E27FC236}">
              <a16:creationId xmlns:a16="http://schemas.microsoft.com/office/drawing/2014/main" id="{859B4481-6950-A47B-79C3-D607A5FA2896}"/>
            </a:ext>
          </a:extLst>
        </xdr:cNvPr>
        <xdr:cNvCxnSpPr/>
      </xdr:nvCxnSpPr>
      <xdr:spPr>
        <a:xfrm>
          <a:off x="14438122" y="24486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130</xdr:row>
      <xdr:rowOff>173991</xdr:rowOff>
    </xdr:from>
    <xdr:to>
      <xdr:col>8</xdr:col>
      <xdr:colOff>239522</xdr:colOff>
      <xdr:row>132</xdr:row>
      <xdr:rowOff>179070</xdr:rowOff>
    </xdr:to>
    <xdr:cxnSp macro="_xll.PtreeEvent_ObjectClick">
      <xdr:nvCxnSpPr>
        <xdr:cNvPr id="264" name="PTObj_DBranchDLine_1_65">
          <a:extLst>
            <a:ext uri="{FF2B5EF4-FFF2-40B4-BE49-F238E27FC236}">
              <a16:creationId xmlns:a16="http://schemas.microsoft.com/office/drawing/2014/main" id="{ADB34746-F87E-01AC-227D-F3B8DBD34583}"/>
            </a:ext>
          </a:extLst>
        </xdr:cNvPr>
        <xdr:cNvCxnSpPr/>
      </xdr:nvCxnSpPr>
      <xdr:spPr>
        <a:xfrm>
          <a:off x="14285722" y="241134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128</xdr:row>
      <xdr:rowOff>179070</xdr:rowOff>
    </xdr:from>
    <xdr:to>
      <xdr:col>9</xdr:col>
      <xdr:colOff>127</xdr:colOff>
      <xdr:row>128</xdr:row>
      <xdr:rowOff>179070</xdr:rowOff>
    </xdr:to>
    <xdr:cxnSp macro="_xll.PtreeEvent_ObjectClick">
      <xdr:nvCxnSpPr>
        <xdr:cNvPr id="261" name="PTObj_DBranchHLine_1_64">
          <a:extLst>
            <a:ext uri="{FF2B5EF4-FFF2-40B4-BE49-F238E27FC236}">
              <a16:creationId xmlns:a16="http://schemas.microsoft.com/office/drawing/2014/main" id="{0E6FA3F3-132D-2E94-A8E3-85E35B30E6B4}"/>
            </a:ext>
          </a:extLst>
        </xdr:cNvPr>
        <xdr:cNvCxnSpPr/>
      </xdr:nvCxnSpPr>
      <xdr:spPr>
        <a:xfrm>
          <a:off x="14438122" y="23750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128</xdr:row>
      <xdr:rowOff>179070</xdr:rowOff>
    </xdr:from>
    <xdr:to>
      <xdr:col>8</xdr:col>
      <xdr:colOff>239522</xdr:colOff>
      <xdr:row>130</xdr:row>
      <xdr:rowOff>173991</xdr:rowOff>
    </xdr:to>
    <xdr:cxnSp macro="_xll.PtreeEvent_ObjectClick">
      <xdr:nvCxnSpPr>
        <xdr:cNvPr id="260" name="PTObj_DBranchDLine_1_64">
          <a:extLst>
            <a:ext uri="{FF2B5EF4-FFF2-40B4-BE49-F238E27FC236}">
              <a16:creationId xmlns:a16="http://schemas.microsoft.com/office/drawing/2014/main" id="{3FF22FF3-5103-2AEA-9203-27B50D26C227}"/>
            </a:ext>
          </a:extLst>
        </xdr:cNvPr>
        <xdr:cNvCxnSpPr/>
      </xdr:nvCxnSpPr>
      <xdr:spPr>
        <a:xfrm flipV="1">
          <a:off x="14285722" y="237502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130</xdr:row>
      <xdr:rowOff>179070</xdr:rowOff>
    </xdr:from>
    <xdr:to>
      <xdr:col>8</xdr:col>
      <xdr:colOff>127</xdr:colOff>
      <xdr:row>130</xdr:row>
      <xdr:rowOff>179070</xdr:rowOff>
    </xdr:to>
    <xdr:cxnSp macro="_xll.PtreeEvent_ObjectClick">
      <xdr:nvCxnSpPr>
        <xdr:cNvPr id="257" name="PTObj_DBranchHLine_1_63">
          <a:extLst>
            <a:ext uri="{FF2B5EF4-FFF2-40B4-BE49-F238E27FC236}">
              <a16:creationId xmlns:a16="http://schemas.microsoft.com/office/drawing/2014/main" id="{FEA5D911-482F-D840-0698-0A02A6B08425}"/>
            </a:ext>
          </a:extLst>
        </xdr:cNvPr>
        <xdr:cNvCxnSpPr/>
      </xdr:nvCxnSpPr>
      <xdr:spPr>
        <a:xfrm>
          <a:off x="12749022" y="241185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126</xdr:row>
      <xdr:rowOff>173991</xdr:rowOff>
    </xdr:from>
    <xdr:to>
      <xdr:col>7</xdr:col>
      <xdr:colOff>239522</xdr:colOff>
      <xdr:row>130</xdr:row>
      <xdr:rowOff>179070</xdr:rowOff>
    </xdr:to>
    <xdr:cxnSp macro="_xll.PtreeEvent_ObjectClick">
      <xdr:nvCxnSpPr>
        <xdr:cNvPr id="256" name="PTObj_DBranchDLine_1_63">
          <a:extLst>
            <a:ext uri="{FF2B5EF4-FFF2-40B4-BE49-F238E27FC236}">
              <a16:creationId xmlns:a16="http://schemas.microsoft.com/office/drawing/2014/main" id="{A9EF9CC9-AD13-ED37-EC7D-ABCD1C07D822}"/>
            </a:ext>
          </a:extLst>
        </xdr:cNvPr>
        <xdr:cNvCxnSpPr/>
      </xdr:nvCxnSpPr>
      <xdr:spPr>
        <a:xfrm>
          <a:off x="12596622" y="23376891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124</xdr:row>
      <xdr:rowOff>179070</xdr:rowOff>
    </xdr:from>
    <xdr:to>
      <xdr:col>9</xdr:col>
      <xdr:colOff>127</xdr:colOff>
      <xdr:row>124</xdr:row>
      <xdr:rowOff>179070</xdr:rowOff>
    </xdr:to>
    <xdr:cxnSp macro="_xll.PtreeEvent_ObjectClick">
      <xdr:nvCxnSpPr>
        <xdr:cNvPr id="253" name="PTObj_DBranchHLine_1_62">
          <a:extLst>
            <a:ext uri="{FF2B5EF4-FFF2-40B4-BE49-F238E27FC236}">
              <a16:creationId xmlns:a16="http://schemas.microsoft.com/office/drawing/2014/main" id="{ADC3811E-414C-13CE-DDE0-613A7DDA04AE}"/>
            </a:ext>
          </a:extLst>
        </xdr:cNvPr>
        <xdr:cNvCxnSpPr/>
      </xdr:nvCxnSpPr>
      <xdr:spPr>
        <a:xfrm>
          <a:off x="14438122" y="23013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122</xdr:row>
      <xdr:rowOff>173991</xdr:rowOff>
    </xdr:from>
    <xdr:to>
      <xdr:col>8</xdr:col>
      <xdr:colOff>239522</xdr:colOff>
      <xdr:row>124</xdr:row>
      <xdr:rowOff>179070</xdr:rowOff>
    </xdr:to>
    <xdr:cxnSp macro="_xll.PtreeEvent_ObjectClick">
      <xdr:nvCxnSpPr>
        <xdr:cNvPr id="252" name="PTObj_DBranchDLine_1_62">
          <a:extLst>
            <a:ext uri="{FF2B5EF4-FFF2-40B4-BE49-F238E27FC236}">
              <a16:creationId xmlns:a16="http://schemas.microsoft.com/office/drawing/2014/main" id="{5AC01FCF-1E59-8676-DA56-18BA2B91E9BD}"/>
            </a:ext>
          </a:extLst>
        </xdr:cNvPr>
        <xdr:cNvCxnSpPr/>
      </xdr:nvCxnSpPr>
      <xdr:spPr>
        <a:xfrm>
          <a:off x="14285722" y="226402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120</xdr:row>
      <xdr:rowOff>179070</xdr:rowOff>
    </xdr:from>
    <xdr:to>
      <xdr:col>9</xdr:col>
      <xdr:colOff>127</xdr:colOff>
      <xdr:row>120</xdr:row>
      <xdr:rowOff>179070</xdr:rowOff>
    </xdr:to>
    <xdr:cxnSp macro="_xll.PtreeEvent_ObjectClick">
      <xdr:nvCxnSpPr>
        <xdr:cNvPr id="249" name="PTObj_DBranchHLine_1_61">
          <a:extLst>
            <a:ext uri="{FF2B5EF4-FFF2-40B4-BE49-F238E27FC236}">
              <a16:creationId xmlns:a16="http://schemas.microsoft.com/office/drawing/2014/main" id="{86E01006-6AC8-C5BA-310C-7E78C26C9E7F}"/>
            </a:ext>
          </a:extLst>
        </xdr:cNvPr>
        <xdr:cNvCxnSpPr/>
      </xdr:nvCxnSpPr>
      <xdr:spPr>
        <a:xfrm>
          <a:off x="14438122" y="22277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120</xdr:row>
      <xdr:rowOff>179070</xdr:rowOff>
    </xdr:from>
    <xdr:to>
      <xdr:col>8</xdr:col>
      <xdr:colOff>239522</xdr:colOff>
      <xdr:row>122</xdr:row>
      <xdr:rowOff>173991</xdr:rowOff>
    </xdr:to>
    <xdr:cxnSp macro="_xll.PtreeEvent_ObjectClick">
      <xdr:nvCxnSpPr>
        <xdr:cNvPr id="248" name="PTObj_DBranchDLine_1_61">
          <a:extLst>
            <a:ext uri="{FF2B5EF4-FFF2-40B4-BE49-F238E27FC236}">
              <a16:creationId xmlns:a16="http://schemas.microsoft.com/office/drawing/2014/main" id="{5306D1A7-A0E7-FADA-5D16-06CE163FF4A1}"/>
            </a:ext>
          </a:extLst>
        </xdr:cNvPr>
        <xdr:cNvCxnSpPr/>
      </xdr:nvCxnSpPr>
      <xdr:spPr>
        <a:xfrm flipV="1">
          <a:off x="14285722" y="222770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122</xdr:row>
      <xdr:rowOff>179070</xdr:rowOff>
    </xdr:from>
    <xdr:to>
      <xdr:col>8</xdr:col>
      <xdr:colOff>127</xdr:colOff>
      <xdr:row>122</xdr:row>
      <xdr:rowOff>179070</xdr:rowOff>
    </xdr:to>
    <xdr:cxnSp macro="_xll.PtreeEvent_ObjectClick">
      <xdr:nvCxnSpPr>
        <xdr:cNvPr id="245" name="PTObj_DBranchHLine_1_60">
          <a:extLst>
            <a:ext uri="{FF2B5EF4-FFF2-40B4-BE49-F238E27FC236}">
              <a16:creationId xmlns:a16="http://schemas.microsoft.com/office/drawing/2014/main" id="{EB9248CF-DC68-A960-7368-8EDCB2880133}"/>
            </a:ext>
          </a:extLst>
        </xdr:cNvPr>
        <xdr:cNvCxnSpPr/>
      </xdr:nvCxnSpPr>
      <xdr:spPr>
        <a:xfrm>
          <a:off x="12749022" y="226453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122</xdr:row>
      <xdr:rowOff>179070</xdr:rowOff>
    </xdr:from>
    <xdr:to>
      <xdr:col>7</xdr:col>
      <xdr:colOff>239522</xdr:colOff>
      <xdr:row>126</xdr:row>
      <xdr:rowOff>173991</xdr:rowOff>
    </xdr:to>
    <xdr:cxnSp macro="_xll.PtreeEvent_ObjectClick">
      <xdr:nvCxnSpPr>
        <xdr:cNvPr id="244" name="PTObj_DBranchDLine_1_60">
          <a:extLst>
            <a:ext uri="{FF2B5EF4-FFF2-40B4-BE49-F238E27FC236}">
              <a16:creationId xmlns:a16="http://schemas.microsoft.com/office/drawing/2014/main" id="{3D070B56-41EC-3632-30AF-B13B5D2C3E98}"/>
            </a:ext>
          </a:extLst>
        </xdr:cNvPr>
        <xdr:cNvCxnSpPr/>
      </xdr:nvCxnSpPr>
      <xdr:spPr>
        <a:xfrm flipV="1">
          <a:off x="12596622" y="226453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126</xdr:row>
      <xdr:rowOff>179070</xdr:rowOff>
    </xdr:from>
    <xdr:to>
      <xdr:col>7</xdr:col>
      <xdr:colOff>127</xdr:colOff>
      <xdr:row>126</xdr:row>
      <xdr:rowOff>179070</xdr:rowOff>
    </xdr:to>
    <xdr:cxnSp macro="_xll.PtreeEvent_ObjectClick">
      <xdr:nvCxnSpPr>
        <xdr:cNvPr id="241" name="PTObj_DBranchHLine_1_59">
          <a:extLst>
            <a:ext uri="{FF2B5EF4-FFF2-40B4-BE49-F238E27FC236}">
              <a16:creationId xmlns:a16="http://schemas.microsoft.com/office/drawing/2014/main" id="{5C27B4E8-C8B5-680C-F525-BE872784EF13}"/>
            </a:ext>
          </a:extLst>
        </xdr:cNvPr>
        <xdr:cNvCxnSpPr/>
      </xdr:nvCxnSpPr>
      <xdr:spPr>
        <a:xfrm>
          <a:off x="11142472" y="233819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118</xdr:row>
      <xdr:rowOff>173991</xdr:rowOff>
    </xdr:from>
    <xdr:to>
      <xdr:col>6</xdr:col>
      <xdr:colOff>239522</xdr:colOff>
      <xdr:row>126</xdr:row>
      <xdr:rowOff>179070</xdr:rowOff>
    </xdr:to>
    <xdr:cxnSp macro="_xll.PtreeEvent_ObjectClick">
      <xdr:nvCxnSpPr>
        <xdr:cNvPr id="240" name="PTObj_DBranchDLine_1_59">
          <a:extLst>
            <a:ext uri="{FF2B5EF4-FFF2-40B4-BE49-F238E27FC236}">
              <a16:creationId xmlns:a16="http://schemas.microsoft.com/office/drawing/2014/main" id="{192544FD-15CF-336C-ADB7-6636FBB63182}"/>
            </a:ext>
          </a:extLst>
        </xdr:cNvPr>
        <xdr:cNvCxnSpPr/>
      </xdr:nvCxnSpPr>
      <xdr:spPr>
        <a:xfrm>
          <a:off x="10990072" y="21903691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116</xdr:row>
      <xdr:rowOff>179070</xdr:rowOff>
    </xdr:from>
    <xdr:to>
      <xdr:col>9</xdr:col>
      <xdr:colOff>127</xdr:colOff>
      <xdr:row>116</xdr:row>
      <xdr:rowOff>179070</xdr:rowOff>
    </xdr:to>
    <xdr:cxnSp macro="_xll.PtreeEvent_ObjectClick">
      <xdr:nvCxnSpPr>
        <xdr:cNvPr id="237" name="PTObj_DBranchHLine_1_58">
          <a:extLst>
            <a:ext uri="{FF2B5EF4-FFF2-40B4-BE49-F238E27FC236}">
              <a16:creationId xmlns:a16="http://schemas.microsoft.com/office/drawing/2014/main" id="{31E14943-8D10-616F-E3EC-24BF35BAEA89}"/>
            </a:ext>
          </a:extLst>
        </xdr:cNvPr>
        <xdr:cNvCxnSpPr/>
      </xdr:nvCxnSpPr>
      <xdr:spPr>
        <a:xfrm>
          <a:off x="14438122" y="21540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114</xdr:row>
      <xdr:rowOff>173991</xdr:rowOff>
    </xdr:from>
    <xdr:to>
      <xdr:col>8</xdr:col>
      <xdr:colOff>239522</xdr:colOff>
      <xdr:row>116</xdr:row>
      <xdr:rowOff>179070</xdr:rowOff>
    </xdr:to>
    <xdr:cxnSp macro="_xll.PtreeEvent_ObjectClick">
      <xdr:nvCxnSpPr>
        <xdr:cNvPr id="236" name="PTObj_DBranchDLine_1_58">
          <a:extLst>
            <a:ext uri="{FF2B5EF4-FFF2-40B4-BE49-F238E27FC236}">
              <a16:creationId xmlns:a16="http://schemas.microsoft.com/office/drawing/2014/main" id="{8B7F3028-6A1A-4637-7C8C-F0F2F1FA9AEB}"/>
            </a:ext>
          </a:extLst>
        </xdr:cNvPr>
        <xdr:cNvCxnSpPr/>
      </xdr:nvCxnSpPr>
      <xdr:spPr>
        <a:xfrm>
          <a:off x="14285722" y="211670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112</xdr:row>
      <xdr:rowOff>179070</xdr:rowOff>
    </xdr:from>
    <xdr:to>
      <xdr:col>9</xdr:col>
      <xdr:colOff>127</xdr:colOff>
      <xdr:row>112</xdr:row>
      <xdr:rowOff>179070</xdr:rowOff>
    </xdr:to>
    <xdr:cxnSp macro="_xll.PtreeEvent_ObjectClick">
      <xdr:nvCxnSpPr>
        <xdr:cNvPr id="233" name="PTObj_DBranchHLine_1_57">
          <a:extLst>
            <a:ext uri="{FF2B5EF4-FFF2-40B4-BE49-F238E27FC236}">
              <a16:creationId xmlns:a16="http://schemas.microsoft.com/office/drawing/2014/main" id="{933FE095-9193-5456-B739-A3ECEDD0BDFA}"/>
            </a:ext>
          </a:extLst>
        </xdr:cNvPr>
        <xdr:cNvCxnSpPr/>
      </xdr:nvCxnSpPr>
      <xdr:spPr>
        <a:xfrm>
          <a:off x="14438122" y="20803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112</xdr:row>
      <xdr:rowOff>179070</xdr:rowOff>
    </xdr:from>
    <xdr:to>
      <xdr:col>8</xdr:col>
      <xdr:colOff>239522</xdr:colOff>
      <xdr:row>114</xdr:row>
      <xdr:rowOff>173991</xdr:rowOff>
    </xdr:to>
    <xdr:cxnSp macro="_xll.PtreeEvent_ObjectClick">
      <xdr:nvCxnSpPr>
        <xdr:cNvPr id="232" name="PTObj_DBranchDLine_1_57">
          <a:extLst>
            <a:ext uri="{FF2B5EF4-FFF2-40B4-BE49-F238E27FC236}">
              <a16:creationId xmlns:a16="http://schemas.microsoft.com/office/drawing/2014/main" id="{FE2E18B9-09DA-F485-F24B-380A39A42570}"/>
            </a:ext>
          </a:extLst>
        </xdr:cNvPr>
        <xdr:cNvCxnSpPr/>
      </xdr:nvCxnSpPr>
      <xdr:spPr>
        <a:xfrm flipV="1">
          <a:off x="14285722" y="208038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114</xdr:row>
      <xdr:rowOff>179070</xdr:rowOff>
    </xdr:from>
    <xdr:to>
      <xdr:col>8</xdr:col>
      <xdr:colOff>127</xdr:colOff>
      <xdr:row>114</xdr:row>
      <xdr:rowOff>179070</xdr:rowOff>
    </xdr:to>
    <xdr:cxnSp macro="_xll.PtreeEvent_ObjectClick">
      <xdr:nvCxnSpPr>
        <xdr:cNvPr id="229" name="PTObj_DBranchHLine_1_56">
          <a:extLst>
            <a:ext uri="{FF2B5EF4-FFF2-40B4-BE49-F238E27FC236}">
              <a16:creationId xmlns:a16="http://schemas.microsoft.com/office/drawing/2014/main" id="{5536061B-43DB-B744-E0AF-B1C7298B4CEC}"/>
            </a:ext>
          </a:extLst>
        </xdr:cNvPr>
        <xdr:cNvCxnSpPr/>
      </xdr:nvCxnSpPr>
      <xdr:spPr>
        <a:xfrm>
          <a:off x="12749022" y="211721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110</xdr:row>
      <xdr:rowOff>173991</xdr:rowOff>
    </xdr:from>
    <xdr:to>
      <xdr:col>7</xdr:col>
      <xdr:colOff>239522</xdr:colOff>
      <xdr:row>114</xdr:row>
      <xdr:rowOff>179070</xdr:rowOff>
    </xdr:to>
    <xdr:cxnSp macro="_xll.PtreeEvent_ObjectClick">
      <xdr:nvCxnSpPr>
        <xdr:cNvPr id="228" name="PTObj_DBranchDLine_1_56">
          <a:extLst>
            <a:ext uri="{FF2B5EF4-FFF2-40B4-BE49-F238E27FC236}">
              <a16:creationId xmlns:a16="http://schemas.microsoft.com/office/drawing/2014/main" id="{3CBFAF98-24D6-26C0-7F49-715772399C99}"/>
            </a:ext>
          </a:extLst>
        </xdr:cNvPr>
        <xdr:cNvCxnSpPr/>
      </xdr:nvCxnSpPr>
      <xdr:spPr>
        <a:xfrm>
          <a:off x="12596622" y="20430491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108</xdr:row>
      <xdr:rowOff>179070</xdr:rowOff>
    </xdr:from>
    <xdr:to>
      <xdr:col>9</xdr:col>
      <xdr:colOff>127</xdr:colOff>
      <xdr:row>108</xdr:row>
      <xdr:rowOff>179070</xdr:rowOff>
    </xdr:to>
    <xdr:cxnSp macro="_xll.PtreeEvent_ObjectClick">
      <xdr:nvCxnSpPr>
        <xdr:cNvPr id="225" name="PTObj_DBranchHLine_1_55">
          <a:extLst>
            <a:ext uri="{FF2B5EF4-FFF2-40B4-BE49-F238E27FC236}">
              <a16:creationId xmlns:a16="http://schemas.microsoft.com/office/drawing/2014/main" id="{4DA05131-A847-86F9-46F5-BF6973E20D0C}"/>
            </a:ext>
          </a:extLst>
        </xdr:cNvPr>
        <xdr:cNvCxnSpPr/>
      </xdr:nvCxnSpPr>
      <xdr:spPr>
        <a:xfrm>
          <a:off x="14438122" y="20067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106</xdr:row>
      <xdr:rowOff>173991</xdr:rowOff>
    </xdr:from>
    <xdr:to>
      <xdr:col>8</xdr:col>
      <xdr:colOff>239522</xdr:colOff>
      <xdr:row>108</xdr:row>
      <xdr:rowOff>179070</xdr:rowOff>
    </xdr:to>
    <xdr:cxnSp macro="_xll.PtreeEvent_ObjectClick">
      <xdr:nvCxnSpPr>
        <xdr:cNvPr id="224" name="PTObj_DBranchDLine_1_55">
          <a:extLst>
            <a:ext uri="{FF2B5EF4-FFF2-40B4-BE49-F238E27FC236}">
              <a16:creationId xmlns:a16="http://schemas.microsoft.com/office/drawing/2014/main" id="{1A571B2A-A77E-08CC-59A5-4E5D5740C9D5}"/>
            </a:ext>
          </a:extLst>
        </xdr:cNvPr>
        <xdr:cNvCxnSpPr/>
      </xdr:nvCxnSpPr>
      <xdr:spPr>
        <a:xfrm>
          <a:off x="14285722" y="196938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104</xdr:row>
      <xdr:rowOff>179070</xdr:rowOff>
    </xdr:from>
    <xdr:to>
      <xdr:col>9</xdr:col>
      <xdr:colOff>127</xdr:colOff>
      <xdr:row>104</xdr:row>
      <xdr:rowOff>179070</xdr:rowOff>
    </xdr:to>
    <xdr:cxnSp macro="_xll.PtreeEvent_ObjectClick">
      <xdr:nvCxnSpPr>
        <xdr:cNvPr id="221" name="PTObj_DBranchHLine_1_54">
          <a:extLst>
            <a:ext uri="{FF2B5EF4-FFF2-40B4-BE49-F238E27FC236}">
              <a16:creationId xmlns:a16="http://schemas.microsoft.com/office/drawing/2014/main" id="{A4AE2DB5-46FB-F672-A361-9FB30DB9B584}"/>
            </a:ext>
          </a:extLst>
        </xdr:cNvPr>
        <xdr:cNvCxnSpPr/>
      </xdr:nvCxnSpPr>
      <xdr:spPr>
        <a:xfrm>
          <a:off x="14438122" y="19330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104</xdr:row>
      <xdr:rowOff>179070</xdr:rowOff>
    </xdr:from>
    <xdr:to>
      <xdr:col>8</xdr:col>
      <xdr:colOff>239522</xdr:colOff>
      <xdr:row>106</xdr:row>
      <xdr:rowOff>173991</xdr:rowOff>
    </xdr:to>
    <xdr:cxnSp macro="_xll.PtreeEvent_ObjectClick">
      <xdr:nvCxnSpPr>
        <xdr:cNvPr id="220" name="PTObj_DBranchDLine_1_54">
          <a:extLst>
            <a:ext uri="{FF2B5EF4-FFF2-40B4-BE49-F238E27FC236}">
              <a16:creationId xmlns:a16="http://schemas.microsoft.com/office/drawing/2014/main" id="{CD8E173D-1F30-36BE-C76B-B5AA854F5F3A}"/>
            </a:ext>
          </a:extLst>
        </xdr:cNvPr>
        <xdr:cNvCxnSpPr/>
      </xdr:nvCxnSpPr>
      <xdr:spPr>
        <a:xfrm flipV="1">
          <a:off x="14285722" y="193306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106</xdr:row>
      <xdr:rowOff>179070</xdr:rowOff>
    </xdr:from>
    <xdr:to>
      <xdr:col>8</xdr:col>
      <xdr:colOff>127</xdr:colOff>
      <xdr:row>106</xdr:row>
      <xdr:rowOff>179070</xdr:rowOff>
    </xdr:to>
    <xdr:cxnSp macro="_xll.PtreeEvent_ObjectClick">
      <xdr:nvCxnSpPr>
        <xdr:cNvPr id="217" name="PTObj_DBranchHLine_1_53">
          <a:extLst>
            <a:ext uri="{FF2B5EF4-FFF2-40B4-BE49-F238E27FC236}">
              <a16:creationId xmlns:a16="http://schemas.microsoft.com/office/drawing/2014/main" id="{D382FA66-E55C-BFA5-91D3-DB1B32ABDE9A}"/>
            </a:ext>
          </a:extLst>
        </xdr:cNvPr>
        <xdr:cNvCxnSpPr/>
      </xdr:nvCxnSpPr>
      <xdr:spPr>
        <a:xfrm>
          <a:off x="12749022" y="196989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106</xdr:row>
      <xdr:rowOff>179070</xdr:rowOff>
    </xdr:from>
    <xdr:to>
      <xdr:col>7</xdr:col>
      <xdr:colOff>239522</xdr:colOff>
      <xdr:row>110</xdr:row>
      <xdr:rowOff>173991</xdr:rowOff>
    </xdr:to>
    <xdr:cxnSp macro="_xll.PtreeEvent_ObjectClick">
      <xdr:nvCxnSpPr>
        <xdr:cNvPr id="216" name="PTObj_DBranchDLine_1_53">
          <a:extLst>
            <a:ext uri="{FF2B5EF4-FFF2-40B4-BE49-F238E27FC236}">
              <a16:creationId xmlns:a16="http://schemas.microsoft.com/office/drawing/2014/main" id="{E0B0C457-AE92-03DC-01BC-82D1C5EC8DD7}"/>
            </a:ext>
          </a:extLst>
        </xdr:cNvPr>
        <xdr:cNvCxnSpPr/>
      </xdr:nvCxnSpPr>
      <xdr:spPr>
        <a:xfrm flipV="1">
          <a:off x="12596622" y="196989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110</xdr:row>
      <xdr:rowOff>179070</xdr:rowOff>
    </xdr:from>
    <xdr:to>
      <xdr:col>7</xdr:col>
      <xdr:colOff>127</xdr:colOff>
      <xdr:row>110</xdr:row>
      <xdr:rowOff>179070</xdr:rowOff>
    </xdr:to>
    <xdr:cxnSp macro="_xll.PtreeEvent_ObjectClick">
      <xdr:nvCxnSpPr>
        <xdr:cNvPr id="213" name="PTObj_DBranchHLine_1_52">
          <a:extLst>
            <a:ext uri="{FF2B5EF4-FFF2-40B4-BE49-F238E27FC236}">
              <a16:creationId xmlns:a16="http://schemas.microsoft.com/office/drawing/2014/main" id="{87BFB414-EF9D-3FDB-09A1-C6A9B164A3D9}"/>
            </a:ext>
          </a:extLst>
        </xdr:cNvPr>
        <xdr:cNvCxnSpPr/>
      </xdr:nvCxnSpPr>
      <xdr:spPr>
        <a:xfrm>
          <a:off x="11142472" y="204355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110</xdr:row>
      <xdr:rowOff>179070</xdr:rowOff>
    </xdr:from>
    <xdr:to>
      <xdr:col>6</xdr:col>
      <xdr:colOff>239522</xdr:colOff>
      <xdr:row>118</xdr:row>
      <xdr:rowOff>173991</xdr:rowOff>
    </xdr:to>
    <xdr:cxnSp macro="_xll.PtreeEvent_ObjectClick">
      <xdr:nvCxnSpPr>
        <xdr:cNvPr id="212" name="PTObj_DBranchDLine_1_52">
          <a:extLst>
            <a:ext uri="{FF2B5EF4-FFF2-40B4-BE49-F238E27FC236}">
              <a16:creationId xmlns:a16="http://schemas.microsoft.com/office/drawing/2014/main" id="{3FAD4B2A-AA43-C111-D5E2-8B34C1E0E010}"/>
            </a:ext>
          </a:extLst>
        </xdr:cNvPr>
        <xdr:cNvCxnSpPr/>
      </xdr:nvCxnSpPr>
      <xdr:spPr>
        <a:xfrm flipV="1">
          <a:off x="10990072" y="20435570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118</xdr:row>
      <xdr:rowOff>179070</xdr:rowOff>
    </xdr:from>
    <xdr:to>
      <xdr:col>6</xdr:col>
      <xdr:colOff>127</xdr:colOff>
      <xdr:row>118</xdr:row>
      <xdr:rowOff>179070</xdr:rowOff>
    </xdr:to>
    <xdr:cxnSp macro="_xll.PtreeEvent_ObjectClick">
      <xdr:nvCxnSpPr>
        <xdr:cNvPr id="209" name="PTObj_DBranchHLine_1_51">
          <a:extLst>
            <a:ext uri="{FF2B5EF4-FFF2-40B4-BE49-F238E27FC236}">
              <a16:creationId xmlns:a16="http://schemas.microsoft.com/office/drawing/2014/main" id="{CFDA9383-CD11-8F45-B29F-F087B78E92CE}"/>
            </a:ext>
          </a:extLst>
        </xdr:cNvPr>
        <xdr:cNvCxnSpPr/>
      </xdr:nvCxnSpPr>
      <xdr:spPr>
        <a:xfrm>
          <a:off x="8856472" y="21908770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102</xdr:row>
      <xdr:rowOff>173991</xdr:rowOff>
    </xdr:from>
    <xdr:to>
      <xdr:col>5</xdr:col>
      <xdr:colOff>239522</xdr:colOff>
      <xdr:row>118</xdr:row>
      <xdr:rowOff>179070</xdr:rowOff>
    </xdr:to>
    <xdr:cxnSp macro="_xll.PtreeEvent_ObjectClick">
      <xdr:nvCxnSpPr>
        <xdr:cNvPr id="208" name="PTObj_DBranchDLine_1_51">
          <a:extLst>
            <a:ext uri="{FF2B5EF4-FFF2-40B4-BE49-F238E27FC236}">
              <a16:creationId xmlns:a16="http://schemas.microsoft.com/office/drawing/2014/main" id="{81D62A2A-A1F9-9E8C-1BE3-DD59F50251F4}"/>
            </a:ext>
          </a:extLst>
        </xdr:cNvPr>
        <xdr:cNvCxnSpPr/>
      </xdr:nvCxnSpPr>
      <xdr:spPr>
        <a:xfrm>
          <a:off x="8704072" y="18957291"/>
          <a:ext cx="152400" cy="29514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100</xdr:row>
      <xdr:rowOff>179070</xdr:rowOff>
    </xdr:from>
    <xdr:to>
      <xdr:col>9</xdr:col>
      <xdr:colOff>127</xdr:colOff>
      <xdr:row>100</xdr:row>
      <xdr:rowOff>179070</xdr:rowOff>
    </xdr:to>
    <xdr:cxnSp macro="_xll.PtreeEvent_ObjectClick">
      <xdr:nvCxnSpPr>
        <xdr:cNvPr id="205" name="PTObj_DBranchHLine_1_50">
          <a:extLst>
            <a:ext uri="{FF2B5EF4-FFF2-40B4-BE49-F238E27FC236}">
              <a16:creationId xmlns:a16="http://schemas.microsoft.com/office/drawing/2014/main" id="{A024E178-7B51-E01D-8494-889D7EE8C210}"/>
            </a:ext>
          </a:extLst>
        </xdr:cNvPr>
        <xdr:cNvCxnSpPr/>
      </xdr:nvCxnSpPr>
      <xdr:spPr>
        <a:xfrm>
          <a:off x="14438122" y="18594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98</xdr:row>
      <xdr:rowOff>173991</xdr:rowOff>
    </xdr:from>
    <xdr:to>
      <xdr:col>8</xdr:col>
      <xdr:colOff>239522</xdr:colOff>
      <xdr:row>100</xdr:row>
      <xdr:rowOff>179070</xdr:rowOff>
    </xdr:to>
    <xdr:cxnSp macro="_xll.PtreeEvent_ObjectClick">
      <xdr:nvCxnSpPr>
        <xdr:cNvPr id="204" name="PTObj_DBranchDLine_1_50">
          <a:extLst>
            <a:ext uri="{FF2B5EF4-FFF2-40B4-BE49-F238E27FC236}">
              <a16:creationId xmlns:a16="http://schemas.microsoft.com/office/drawing/2014/main" id="{440F045F-BFB4-3A5F-5485-F3571C74849F}"/>
            </a:ext>
          </a:extLst>
        </xdr:cNvPr>
        <xdr:cNvCxnSpPr/>
      </xdr:nvCxnSpPr>
      <xdr:spPr>
        <a:xfrm>
          <a:off x="14285722" y="182206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96</xdr:row>
      <xdr:rowOff>179070</xdr:rowOff>
    </xdr:from>
    <xdr:to>
      <xdr:col>9</xdr:col>
      <xdr:colOff>127</xdr:colOff>
      <xdr:row>96</xdr:row>
      <xdr:rowOff>179070</xdr:rowOff>
    </xdr:to>
    <xdr:cxnSp macro="_xll.PtreeEvent_ObjectClick">
      <xdr:nvCxnSpPr>
        <xdr:cNvPr id="201" name="PTObj_DBranchHLine_1_49">
          <a:extLst>
            <a:ext uri="{FF2B5EF4-FFF2-40B4-BE49-F238E27FC236}">
              <a16:creationId xmlns:a16="http://schemas.microsoft.com/office/drawing/2014/main" id="{7BFB267C-8D5D-CB02-1FBF-D2C094BDE90E}"/>
            </a:ext>
          </a:extLst>
        </xdr:cNvPr>
        <xdr:cNvCxnSpPr/>
      </xdr:nvCxnSpPr>
      <xdr:spPr>
        <a:xfrm>
          <a:off x="14438122" y="17857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96</xdr:row>
      <xdr:rowOff>179070</xdr:rowOff>
    </xdr:from>
    <xdr:to>
      <xdr:col>8</xdr:col>
      <xdr:colOff>239522</xdr:colOff>
      <xdr:row>98</xdr:row>
      <xdr:rowOff>173991</xdr:rowOff>
    </xdr:to>
    <xdr:cxnSp macro="_xll.PtreeEvent_ObjectClick">
      <xdr:nvCxnSpPr>
        <xdr:cNvPr id="200" name="PTObj_DBranchDLine_1_49">
          <a:extLst>
            <a:ext uri="{FF2B5EF4-FFF2-40B4-BE49-F238E27FC236}">
              <a16:creationId xmlns:a16="http://schemas.microsoft.com/office/drawing/2014/main" id="{E1D24E9A-BE8D-5ADC-0036-FC5E2F8ED898}"/>
            </a:ext>
          </a:extLst>
        </xdr:cNvPr>
        <xdr:cNvCxnSpPr/>
      </xdr:nvCxnSpPr>
      <xdr:spPr>
        <a:xfrm flipV="1">
          <a:off x="14285722" y="178574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98</xdr:row>
      <xdr:rowOff>179070</xdr:rowOff>
    </xdr:from>
    <xdr:to>
      <xdr:col>8</xdr:col>
      <xdr:colOff>127</xdr:colOff>
      <xdr:row>98</xdr:row>
      <xdr:rowOff>179070</xdr:rowOff>
    </xdr:to>
    <xdr:cxnSp macro="_xll.PtreeEvent_ObjectClick">
      <xdr:nvCxnSpPr>
        <xdr:cNvPr id="197" name="PTObj_DBranchHLine_1_48">
          <a:extLst>
            <a:ext uri="{FF2B5EF4-FFF2-40B4-BE49-F238E27FC236}">
              <a16:creationId xmlns:a16="http://schemas.microsoft.com/office/drawing/2014/main" id="{4131BA21-8E1E-D868-FFE0-2BF2E6D2A906}"/>
            </a:ext>
          </a:extLst>
        </xdr:cNvPr>
        <xdr:cNvCxnSpPr/>
      </xdr:nvCxnSpPr>
      <xdr:spPr>
        <a:xfrm>
          <a:off x="12749022" y="182257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94</xdr:row>
      <xdr:rowOff>173991</xdr:rowOff>
    </xdr:from>
    <xdr:to>
      <xdr:col>7</xdr:col>
      <xdr:colOff>239522</xdr:colOff>
      <xdr:row>98</xdr:row>
      <xdr:rowOff>179070</xdr:rowOff>
    </xdr:to>
    <xdr:cxnSp macro="_xll.PtreeEvent_ObjectClick">
      <xdr:nvCxnSpPr>
        <xdr:cNvPr id="196" name="PTObj_DBranchDLine_1_48">
          <a:extLst>
            <a:ext uri="{FF2B5EF4-FFF2-40B4-BE49-F238E27FC236}">
              <a16:creationId xmlns:a16="http://schemas.microsoft.com/office/drawing/2014/main" id="{F4A80AA2-07FA-3DD8-93B2-F0EDC71AE98A}"/>
            </a:ext>
          </a:extLst>
        </xdr:cNvPr>
        <xdr:cNvCxnSpPr/>
      </xdr:nvCxnSpPr>
      <xdr:spPr>
        <a:xfrm>
          <a:off x="12596622" y="17484091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92</xdr:row>
      <xdr:rowOff>179070</xdr:rowOff>
    </xdr:from>
    <xdr:to>
      <xdr:col>9</xdr:col>
      <xdr:colOff>127</xdr:colOff>
      <xdr:row>92</xdr:row>
      <xdr:rowOff>179070</xdr:rowOff>
    </xdr:to>
    <xdr:cxnSp macro="_xll.PtreeEvent_ObjectClick">
      <xdr:nvCxnSpPr>
        <xdr:cNvPr id="193" name="PTObj_DBranchHLine_1_47">
          <a:extLst>
            <a:ext uri="{FF2B5EF4-FFF2-40B4-BE49-F238E27FC236}">
              <a16:creationId xmlns:a16="http://schemas.microsoft.com/office/drawing/2014/main" id="{4A044C99-73D2-12C2-715F-350A239BB7DA}"/>
            </a:ext>
          </a:extLst>
        </xdr:cNvPr>
        <xdr:cNvCxnSpPr/>
      </xdr:nvCxnSpPr>
      <xdr:spPr>
        <a:xfrm>
          <a:off x="14438122" y="17120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90</xdr:row>
      <xdr:rowOff>173989</xdr:rowOff>
    </xdr:from>
    <xdr:to>
      <xdr:col>8</xdr:col>
      <xdr:colOff>239522</xdr:colOff>
      <xdr:row>92</xdr:row>
      <xdr:rowOff>179070</xdr:rowOff>
    </xdr:to>
    <xdr:cxnSp macro="_xll.PtreeEvent_ObjectClick">
      <xdr:nvCxnSpPr>
        <xdr:cNvPr id="192" name="PTObj_DBranchDLine_1_47">
          <a:extLst>
            <a:ext uri="{FF2B5EF4-FFF2-40B4-BE49-F238E27FC236}">
              <a16:creationId xmlns:a16="http://schemas.microsoft.com/office/drawing/2014/main" id="{39C2C0BA-D2C9-67FA-5AF9-C32FFECA8445}"/>
            </a:ext>
          </a:extLst>
        </xdr:cNvPr>
        <xdr:cNvCxnSpPr/>
      </xdr:nvCxnSpPr>
      <xdr:spPr>
        <a:xfrm>
          <a:off x="14285722" y="167474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88</xdr:row>
      <xdr:rowOff>179070</xdr:rowOff>
    </xdr:from>
    <xdr:to>
      <xdr:col>9</xdr:col>
      <xdr:colOff>127</xdr:colOff>
      <xdr:row>88</xdr:row>
      <xdr:rowOff>179070</xdr:rowOff>
    </xdr:to>
    <xdr:cxnSp macro="_xll.PtreeEvent_ObjectClick">
      <xdr:nvCxnSpPr>
        <xdr:cNvPr id="189" name="PTObj_DBranchHLine_1_46">
          <a:extLst>
            <a:ext uri="{FF2B5EF4-FFF2-40B4-BE49-F238E27FC236}">
              <a16:creationId xmlns:a16="http://schemas.microsoft.com/office/drawing/2014/main" id="{2F1E6F06-3258-F0E3-3CB7-2DB1F304DCB1}"/>
            </a:ext>
          </a:extLst>
        </xdr:cNvPr>
        <xdr:cNvCxnSpPr/>
      </xdr:nvCxnSpPr>
      <xdr:spPr>
        <a:xfrm>
          <a:off x="14438122" y="16384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88</xdr:row>
      <xdr:rowOff>179070</xdr:rowOff>
    </xdr:from>
    <xdr:to>
      <xdr:col>8</xdr:col>
      <xdr:colOff>239522</xdr:colOff>
      <xdr:row>90</xdr:row>
      <xdr:rowOff>173989</xdr:rowOff>
    </xdr:to>
    <xdr:cxnSp macro="_xll.PtreeEvent_ObjectClick">
      <xdr:nvCxnSpPr>
        <xdr:cNvPr id="188" name="PTObj_DBranchDLine_1_46">
          <a:extLst>
            <a:ext uri="{FF2B5EF4-FFF2-40B4-BE49-F238E27FC236}">
              <a16:creationId xmlns:a16="http://schemas.microsoft.com/office/drawing/2014/main" id="{1D1945C8-ED3E-0E50-A70D-9122FF775D0E}"/>
            </a:ext>
          </a:extLst>
        </xdr:cNvPr>
        <xdr:cNvCxnSpPr/>
      </xdr:nvCxnSpPr>
      <xdr:spPr>
        <a:xfrm flipV="1">
          <a:off x="14285722" y="163842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90</xdr:row>
      <xdr:rowOff>179070</xdr:rowOff>
    </xdr:from>
    <xdr:to>
      <xdr:col>8</xdr:col>
      <xdr:colOff>127</xdr:colOff>
      <xdr:row>90</xdr:row>
      <xdr:rowOff>179070</xdr:rowOff>
    </xdr:to>
    <xdr:cxnSp macro="_xll.PtreeEvent_ObjectClick">
      <xdr:nvCxnSpPr>
        <xdr:cNvPr id="185" name="PTObj_DBranchHLine_1_45">
          <a:extLst>
            <a:ext uri="{FF2B5EF4-FFF2-40B4-BE49-F238E27FC236}">
              <a16:creationId xmlns:a16="http://schemas.microsoft.com/office/drawing/2014/main" id="{1CAB0335-965D-0DE3-51A9-6F431DF24E27}"/>
            </a:ext>
          </a:extLst>
        </xdr:cNvPr>
        <xdr:cNvCxnSpPr/>
      </xdr:nvCxnSpPr>
      <xdr:spPr>
        <a:xfrm>
          <a:off x="12749022" y="167525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90</xdr:row>
      <xdr:rowOff>179070</xdr:rowOff>
    </xdr:from>
    <xdr:to>
      <xdr:col>7</xdr:col>
      <xdr:colOff>239522</xdr:colOff>
      <xdr:row>94</xdr:row>
      <xdr:rowOff>173991</xdr:rowOff>
    </xdr:to>
    <xdr:cxnSp macro="_xll.PtreeEvent_ObjectClick">
      <xdr:nvCxnSpPr>
        <xdr:cNvPr id="184" name="PTObj_DBranchDLine_1_45">
          <a:extLst>
            <a:ext uri="{FF2B5EF4-FFF2-40B4-BE49-F238E27FC236}">
              <a16:creationId xmlns:a16="http://schemas.microsoft.com/office/drawing/2014/main" id="{44738A9C-DA47-1146-2743-F290612F4B94}"/>
            </a:ext>
          </a:extLst>
        </xdr:cNvPr>
        <xdr:cNvCxnSpPr/>
      </xdr:nvCxnSpPr>
      <xdr:spPr>
        <a:xfrm flipV="1">
          <a:off x="12596622" y="167525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94</xdr:row>
      <xdr:rowOff>179070</xdr:rowOff>
    </xdr:from>
    <xdr:to>
      <xdr:col>7</xdr:col>
      <xdr:colOff>127</xdr:colOff>
      <xdr:row>94</xdr:row>
      <xdr:rowOff>179070</xdr:rowOff>
    </xdr:to>
    <xdr:cxnSp macro="_xll.PtreeEvent_ObjectClick">
      <xdr:nvCxnSpPr>
        <xdr:cNvPr id="181" name="PTObj_DBranchHLine_1_44">
          <a:extLst>
            <a:ext uri="{FF2B5EF4-FFF2-40B4-BE49-F238E27FC236}">
              <a16:creationId xmlns:a16="http://schemas.microsoft.com/office/drawing/2014/main" id="{11048071-9C41-63E9-D854-C138206E8392}"/>
            </a:ext>
          </a:extLst>
        </xdr:cNvPr>
        <xdr:cNvCxnSpPr/>
      </xdr:nvCxnSpPr>
      <xdr:spPr>
        <a:xfrm>
          <a:off x="11142472" y="174891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86</xdr:row>
      <xdr:rowOff>173989</xdr:rowOff>
    </xdr:from>
    <xdr:to>
      <xdr:col>6</xdr:col>
      <xdr:colOff>239522</xdr:colOff>
      <xdr:row>94</xdr:row>
      <xdr:rowOff>179070</xdr:rowOff>
    </xdr:to>
    <xdr:cxnSp macro="_xll.PtreeEvent_ObjectClick">
      <xdr:nvCxnSpPr>
        <xdr:cNvPr id="180" name="PTObj_DBranchDLine_1_44">
          <a:extLst>
            <a:ext uri="{FF2B5EF4-FFF2-40B4-BE49-F238E27FC236}">
              <a16:creationId xmlns:a16="http://schemas.microsoft.com/office/drawing/2014/main" id="{35755C7B-B85E-5A5B-6768-5DD0BB9F6383}"/>
            </a:ext>
          </a:extLst>
        </xdr:cNvPr>
        <xdr:cNvCxnSpPr/>
      </xdr:nvCxnSpPr>
      <xdr:spPr>
        <a:xfrm>
          <a:off x="10990072" y="16010889"/>
          <a:ext cx="152400" cy="14782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84</xdr:row>
      <xdr:rowOff>179070</xdr:rowOff>
    </xdr:from>
    <xdr:to>
      <xdr:col>9</xdr:col>
      <xdr:colOff>127</xdr:colOff>
      <xdr:row>84</xdr:row>
      <xdr:rowOff>179070</xdr:rowOff>
    </xdr:to>
    <xdr:cxnSp macro="_xll.PtreeEvent_ObjectClick">
      <xdr:nvCxnSpPr>
        <xdr:cNvPr id="177" name="PTObj_DBranchHLine_1_43">
          <a:extLst>
            <a:ext uri="{FF2B5EF4-FFF2-40B4-BE49-F238E27FC236}">
              <a16:creationId xmlns:a16="http://schemas.microsoft.com/office/drawing/2014/main" id="{79D39553-22CC-23D9-CA55-976744478DA3}"/>
            </a:ext>
          </a:extLst>
        </xdr:cNvPr>
        <xdr:cNvCxnSpPr/>
      </xdr:nvCxnSpPr>
      <xdr:spPr>
        <a:xfrm>
          <a:off x="14438122" y="15647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82</xdr:row>
      <xdr:rowOff>173989</xdr:rowOff>
    </xdr:from>
    <xdr:to>
      <xdr:col>8</xdr:col>
      <xdr:colOff>239522</xdr:colOff>
      <xdr:row>84</xdr:row>
      <xdr:rowOff>179070</xdr:rowOff>
    </xdr:to>
    <xdr:cxnSp macro="_xll.PtreeEvent_ObjectClick">
      <xdr:nvCxnSpPr>
        <xdr:cNvPr id="176" name="PTObj_DBranchDLine_1_43">
          <a:extLst>
            <a:ext uri="{FF2B5EF4-FFF2-40B4-BE49-F238E27FC236}">
              <a16:creationId xmlns:a16="http://schemas.microsoft.com/office/drawing/2014/main" id="{AA339ED9-2C4E-8D69-0668-7ABCDCA815D6}"/>
            </a:ext>
          </a:extLst>
        </xdr:cNvPr>
        <xdr:cNvCxnSpPr/>
      </xdr:nvCxnSpPr>
      <xdr:spPr>
        <a:xfrm>
          <a:off x="14285722" y="152742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80</xdr:row>
      <xdr:rowOff>179070</xdr:rowOff>
    </xdr:from>
    <xdr:to>
      <xdr:col>9</xdr:col>
      <xdr:colOff>127</xdr:colOff>
      <xdr:row>80</xdr:row>
      <xdr:rowOff>179070</xdr:rowOff>
    </xdr:to>
    <xdr:cxnSp macro="_xll.PtreeEvent_ObjectClick">
      <xdr:nvCxnSpPr>
        <xdr:cNvPr id="173" name="PTObj_DBranchHLine_1_42">
          <a:extLst>
            <a:ext uri="{FF2B5EF4-FFF2-40B4-BE49-F238E27FC236}">
              <a16:creationId xmlns:a16="http://schemas.microsoft.com/office/drawing/2014/main" id="{6C403F3E-1FEE-118C-8D40-D25E178959A6}"/>
            </a:ext>
          </a:extLst>
        </xdr:cNvPr>
        <xdr:cNvCxnSpPr/>
      </xdr:nvCxnSpPr>
      <xdr:spPr>
        <a:xfrm>
          <a:off x="14438122" y="14911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80</xdr:row>
      <xdr:rowOff>179070</xdr:rowOff>
    </xdr:from>
    <xdr:to>
      <xdr:col>8</xdr:col>
      <xdr:colOff>239522</xdr:colOff>
      <xdr:row>82</xdr:row>
      <xdr:rowOff>173989</xdr:rowOff>
    </xdr:to>
    <xdr:cxnSp macro="_xll.PtreeEvent_ObjectClick">
      <xdr:nvCxnSpPr>
        <xdr:cNvPr id="172" name="PTObj_DBranchDLine_1_42">
          <a:extLst>
            <a:ext uri="{FF2B5EF4-FFF2-40B4-BE49-F238E27FC236}">
              <a16:creationId xmlns:a16="http://schemas.microsoft.com/office/drawing/2014/main" id="{D58485B0-9BEF-A2EC-7866-4707B99EB8AF}"/>
            </a:ext>
          </a:extLst>
        </xdr:cNvPr>
        <xdr:cNvCxnSpPr/>
      </xdr:nvCxnSpPr>
      <xdr:spPr>
        <a:xfrm flipV="1">
          <a:off x="14285722" y="149110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82</xdr:row>
      <xdr:rowOff>179070</xdr:rowOff>
    </xdr:from>
    <xdr:to>
      <xdr:col>8</xdr:col>
      <xdr:colOff>127</xdr:colOff>
      <xdr:row>82</xdr:row>
      <xdr:rowOff>179070</xdr:rowOff>
    </xdr:to>
    <xdr:cxnSp macro="_xll.PtreeEvent_ObjectClick">
      <xdr:nvCxnSpPr>
        <xdr:cNvPr id="169" name="PTObj_DBranchHLine_1_41">
          <a:extLst>
            <a:ext uri="{FF2B5EF4-FFF2-40B4-BE49-F238E27FC236}">
              <a16:creationId xmlns:a16="http://schemas.microsoft.com/office/drawing/2014/main" id="{D271151F-C16C-EACD-4C3C-23A41CE4228C}"/>
            </a:ext>
          </a:extLst>
        </xdr:cNvPr>
        <xdr:cNvCxnSpPr/>
      </xdr:nvCxnSpPr>
      <xdr:spPr>
        <a:xfrm>
          <a:off x="12749022" y="152793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78</xdr:row>
      <xdr:rowOff>173989</xdr:rowOff>
    </xdr:from>
    <xdr:to>
      <xdr:col>7</xdr:col>
      <xdr:colOff>239522</xdr:colOff>
      <xdr:row>82</xdr:row>
      <xdr:rowOff>179070</xdr:rowOff>
    </xdr:to>
    <xdr:cxnSp macro="_xll.PtreeEvent_ObjectClick">
      <xdr:nvCxnSpPr>
        <xdr:cNvPr id="168" name="PTObj_DBranchDLine_1_41">
          <a:extLst>
            <a:ext uri="{FF2B5EF4-FFF2-40B4-BE49-F238E27FC236}">
              <a16:creationId xmlns:a16="http://schemas.microsoft.com/office/drawing/2014/main" id="{FF7F315D-1A06-9FB1-20D4-AD075E9126D8}"/>
            </a:ext>
          </a:extLst>
        </xdr:cNvPr>
        <xdr:cNvCxnSpPr/>
      </xdr:nvCxnSpPr>
      <xdr:spPr>
        <a:xfrm>
          <a:off x="12596622" y="1453768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76</xdr:row>
      <xdr:rowOff>179070</xdr:rowOff>
    </xdr:from>
    <xdr:to>
      <xdr:col>9</xdr:col>
      <xdr:colOff>127</xdr:colOff>
      <xdr:row>76</xdr:row>
      <xdr:rowOff>179070</xdr:rowOff>
    </xdr:to>
    <xdr:cxnSp macro="_xll.PtreeEvent_ObjectClick">
      <xdr:nvCxnSpPr>
        <xdr:cNvPr id="165" name="PTObj_DBranchHLine_1_40">
          <a:extLst>
            <a:ext uri="{FF2B5EF4-FFF2-40B4-BE49-F238E27FC236}">
              <a16:creationId xmlns:a16="http://schemas.microsoft.com/office/drawing/2014/main" id="{E3CDA9B8-22A5-D649-A9C7-75E1EDA6F22C}"/>
            </a:ext>
          </a:extLst>
        </xdr:cNvPr>
        <xdr:cNvCxnSpPr/>
      </xdr:nvCxnSpPr>
      <xdr:spPr>
        <a:xfrm>
          <a:off x="14438122" y="14174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74</xdr:row>
      <xdr:rowOff>173989</xdr:rowOff>
    </xdr:from>
    <xdr:to>
      <xdr:col>8</xdr:col>
      <xdr:colOff>239522</xdr:colOff>
      <xdr:row>76</xdr:row>
      <xdr:rowOff>179070</xdr:rowOff>
    </xdr:to>
    <xdr:cxnSp macro="_xll.PtreeEvent_ObjectClick">
      <xdr:nvCxnSpPr>
        <xdr:cNvPr id="164" name="PTObj_DBranchDLine_1_40">
          <a:extLst>
            <a:ext uri="{FF2B5EF4-FFF2-40B4-BE49-F238E27FC236}">
              <a16:creationId xmlns:a16="http://schemas.microsoft.com/office/drawing/2014/main" id="{8926651C-6C5F-4E82-77AE-1273DB753325}"/>
            </a:ext>
          </a:extLst>
        </xdr:cNvPr>
        <xdr:cNvCxnSpPr/>
      </xdr:nvCxnSpPr>
      <xdr:spPr>
        <a:xfrm>
          <a:off x="14285722" y="138010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72</xdr:row>
      <xdr:rowOff>179070</xdr:rowOff>
    </xdr:from>
    <xdr:to>
      <xdr:col>9</xdr:col>
      <xdr:colOff>127</xdr:colOff>
      <xdr:row>72</xdr:row>
      <xdr:rowOff>179070</xdr:rowOff>
    </xdr:to>
    <xdr:cxnSp macro="_xll.PtreeEvent_ObjectClick">
      <xdr:nvCxnSpPr>
        <xdr:cNvPr id="161" name="PTObj_DBranchHLine_1_39">
          <a:extLst>
            <a:ext uri="{FF2B5EF4-FFF2-40B4-BE49-F238E27FC236}">
              <a16:creationId xmlns:a16="http://schemas.microsoft.com/office/drawing/2014/main" id="{D4371538-EFC2-A829-50EC-567DCDA473EE}"/>
            </a:ext>
          </a:extLst>
        </xdr:cNvPr>
        <xdr:cNvCxnSpPr/>
      </xdr:nvCxnSpPr>
      <xdr:spPr>
        <a:xfrm>
          <a:off x="14438122" y="13437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72</xdr:row>
      <xdr:rowOff>179070</xdr:rowOff>
    </xdr:from>
    <xdr:to>
      <xdr:col>8</xdr:col>
      <xdr:colOff>239522</xdr:colOff>
      <xdr:row>74</xdr:row>
      <xdr:rowOff>173989</xdr:rowOff>
    </xdr:to>
    <xdr:cxnSp macro="_xll.PtreeEvent_ObjectClick">
      <xdr:nvCxnSpPr>
        <xdr:cNvPr id="160" name="PTObj_DBranchDLine_1_39">
          <a:extLst>
            <a:ext uri="{FF2B5EF4-FFF2-40B4-BE49-F238E27FC236}">
              <a16:creationId xmlns:a16="http://schemas.microsoft.com/office/drawing/2014/main" id="{C5625F47-0CCD-6F4F-2C97-6CE9DE61810E}"/>
            </a:ext>
          </a:extLst>
        </xdr:cNvPr>
        <xdr:cNvCxnSpPr/>
      </xdr:nvCxnSpPr>
      <xdr:spPr>
        <a:xfrm flipV="1">
          <a:off x="14285722" y="134378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74</xdr:row>
      <xdr:rowOff>179070</xdr:rowOff>
    </xdr:from>
    <xdr:to>
      <xdr:col>8</xdr:col>
      <xdr:colOff>127</xdr:colOff>
      <xdr:row>74</xdr:row>
      <xdr:rowOff>179070</xdr:rowOff>
    </xdr:to>
    <xdr:cxnSp macro="_xll.PtreeEvent_ObjectClick">
      <xdr:nvCxnSpPr>
        <xdr:cNvPr id="157" name="PTObj_DBranchHLine_1_38">
          <a:extLst>
            <a:ext uri="{FF2B5EF4-FFF2-40B4-BE49-F238E27FC236}">
              <a16:creationId xmlns:a16="http://schemas.microsoft.com/office/drawing/2014/main" id="{7CBEDD5B-E50C-CDAA-0EA0-8652B55E9395}"/>
            </a:ext>
          </a:extLst>
        </xdr:cNvPr>
        <xdr:cNvCxnSpPr/>
      </xdr:nvCxnSpPr>
      <xdr:spPr>
        <a:xfrm>
          <a:off x="12749022" y="138061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74</xdr:row>
      <xdr:rowOff>179070</xdr:rowOff>
    </xdr:from>
    <xdr:to>
      <xdr:col>7</xdr:col>
      <xdr:colOff>239522</xdr:colOff>
      <xdr:row>78</xdr:row>
      <xdr:rowOff>173989</xdr:rowOff>
    </xdr:to>
    <xdr:cxnSp macro="_xll.PtreeEvent_ObjectClick">
      <xdr:nvCxnSpPr>
        <xdr:cNvPr id="156" name="PTObj_DBranchDLine_1_38">
          <a:extLst>
            <a:ext uri="{FF2B5EF4-FFF2-40B4-BE49-F238E27FC236}">
              <a16:creationId xmlns:a16="http://schemas.microsoft.com/office/drawing/2014/main" id="{F3596530-DCBF-A21B-BF38-4F31C2896961}"/>
            </a:ext>
          </a:extLst>
        </xdr:cNvPr>
        <xdr:cNvCxnSpPr/>
      </xdr:nvCxnSpPr>
      <xdr:spPr>
        <a:xfrm flipV="1">
          <a:off x="12596622" y="138061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78</xdr:row>
      <xdr:rowOff>179070</xdr:rowOff>
    </xdr:from>
    <xdr:to>
      <xdr:col>7</xdr:col>
      <xdr:colOff>127</xdr:colOff>
      <xdr:row>78</xdr:row>
      <xdr:rowOff>179070</xdr:rowOff>
    </xdr:to>
    <xdr:cxnSp macro="_xll.PtreeEvent_ObjectClick">
      <xdr:nvCxnSpPr>
        <xdr:cNvPr id="153" name="PTObj_DBranchHLine_1_37">
          <a:extLst>
            <a:ext uri="{FF2B5EF4-FFF2-40B4-BE49-F238E27FC236}">
              <a16:creationId xmlns:a16="http://schemas.microsoft.com/office/drawing/2014/main" id="{E90ADACE-D8F5-D009-08FB-742A966D6A00}"/>
            </a:ext>
          </a:extLst>
        </xdr:cNvPr>
        <xdr:cNvCxnSpPr/>
      </xdr:nvCxnSpPr>
      <xdr:spPr>
        <a:xfrm>
          <a:off x="11142472" y="145427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78</xdr:row>
      <xdr:rowOff>179070</xdr:rowOff>
    </xdr:from>
    <xdr:to>
      <xdr:col>6</xdr:col>
      <xdr:colOff>239522</xdr:colOff>
      <xdr:row>86</xdr:row>
      <xdr:rowOff>173989</xdr:rowOff>
    </xdr:to>
    <xdr:cxnSp macro="_xll.PtreeEvent_ObjectClick">
      <xdr:nvCxnSpPr>
        <xdr:cNvPr id="152" name="PTObj_DBranchDLine_1_37">
          <a:extLst>
            <a:ext uri="{FF2B5EF4-FFF2-40B4-BE49-F238E27FC236}">
              <a16:creationId xmlns:a16="http://schemas.microsoft.com/office/drawing/2014/main" id="{93D201D6-0E29-02F5-5C13-A679CDA06A57}"/>
            </a:ext>
          </a:extLst>
        </xdr:cNvPr>
        <xdr:cNvCxnSpPr/>
      </xdr:nvCxnSpPr>
      <xdr:spPr>
        <a:xfrm flipV="1">
          <a:off x="10990072" y="1454277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86</xdr:row>
      <xdr:rowOff>179070</xdr:rowOff>
    </xdr:from>
    <xdr:to>
      <xdr:col>6</xdr:col>
      <xdr:colOff>127</xdr:colOff>
      <xdr:row>86</xdr:row>
      <xdr:rowOff>179070</xdr:rowOff>
    </xdr:to>
    <xdr:cxnSp macro="_xll.PtreeEvent_ObjectClick">
      <xdr:nvCxnSpPr>
        <xdr:cNvPr id="149" name="PTObj_DBranchHLine_1_36">
          <a:extLst>
            <a:ext uri="{FF2B5EF4-FFF2-40B4-BE49-F238E27FC236}">
              <a16:creationId xmlns:a16="http://schemas.microsoft.com/office/drawing/2014/main" id="{E47A6036-8F5B-C773-2056-6A5315911D42}"/>
            </a:ext>
          </a:extLst>
        </xdr:cNvPr>
        <xdr:cNvCxnSpPr/>
      </xdr:nvCxnSpPr>
      <xdr:spPr>
        <a:xfrm>
          <a:off x="8856472" y="16015970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86</xdr:row>
      <xdr:rowOff>179070</xdr:rowOff>
    </xdr:from>
    <xdr:to>
      <xdr:col>5</xdr:col>
      <xdr:colOff>239522</xdr:colOff>
      <xdr:row>102</xdr:row>
      <xdr:rowOff>173991</xdr:rowOff>
    </xdr:to>
    <xdr:cxnSp macro="_xll.PtreeEvent_ObjectClick">
      <xdr:nvCxnSpPr>
        <xdr:cNvPr id="148" name="PTObj_DBranchDLine_1_36">
          <a:extLst>
            <a:ext uri="{FF2B5EF4-FFF2-40B4-BE49-F238E27FC236}">
              <a16:creationId xmlns:a16="http://schemas.microsoft.com/office/drawing/2014/main" id="{55FE66AA-291D-5A02-C5A4-2E523074F9B2}"/>
            </a:ext>
          </a:extLst>
        </xdr:cNvPr>
        <xdr:cNvCxnSpPr/>
      </xdr:nvCxnSpPr>
      <xdr:spPr>
        <a:xfrm flipV="1">
          <a:off x="8704072" y="16015970"/>
          <a:ext cx="152400" cy="29413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102</xdr:row>
      <xdr:rowOff>179070</xdr:rowOff>
    </xdr:from>
    <xdr:to>
      <xdr:col>5</xdr:col>
      <xdr:colOff>127</xdr:colOff>
      <xdr:row>102</xdr:row>
      <xdr:rowOff>179070</xdr:rowOff>
    </xdr:to>
    <xdr:cxnSp macro="_xll.PtreeEvent_ObjectClick">
      <xdr:nvCxnSpPr>
        <xdr:cNvPr id="145" name="PTObj_DBranchHLine_1_35">
          <a:extLst>
            <a:ext uri="{FF2B5EF4-FFF2-40B4-BE49-F238E27FC236}">
              <a16:creationId xmlns:a16="http://schemas.microsoft.com/office/drawing/2014/main" id="{F0CDDEE4-7F90-36DE-938B-0F461E6D0CAF}"/>
            </a:ext>
          </a:extLst>
        </xdr:cNvPr>
        <xdr:cNvCxnSpPr/>
      </xdr:nvCxnSpPr>
      <xdr:spPr>
        <a:xfrm>
          <a:off x="6589522" y="18962370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70</xdr:row>
      <xdr:rowOff>173989</xdr:rowOff>
    </xdr:from>
    <xdr:to>
      <xdr:col>4</xdr:col>
      <xdr:colOff>239522</xdr:colOff>
      <xdr:row>102</xdr:row>
      <xdr:rowOff>179070</xdr:rowOff>
    </xdr:to>
    <xdr:cxnSp macro="_xll.PtreeEvent_ObjectClick">
      <xdr:nvCxnSpPr>
        <xdr:cNvPr id="144" name="PTObj_DBranchDLine_1_35">
          <a:extLst>
            <a:ext uri="{FF2B5EF4-FFF2-40B4-BE49-F238E27FC236}">
              <a16:creationId xmlns:a16="http://schemas.microsoft.com/office/drawing/2014/main" id="{74B8D8EA-1F65-60B8-C193-58A2C5734A04}"/>
            </a:ext>
          </a:extLst>
        </xdr:cNvPr>
        <xdr:cNvCxnSpPr/>
      </xdr:nvCxnSpPr>
      <xdr:spPr>
        <a:xfrm>
          <a:off x="6437122" y="13064489"/>
          <a:ext cx="152400" cy="58978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68</xdr:row>
      <xdr:rowOff>179070</xdr:rowOff>
    </xdr:from>
    <xdr:to>
      <xdr:col>9</xdr:col>
      <xdr:colOff>127</xdr:colOff>
      <xdr:row>68</xdr:row>
      <xdr:rowOff>179070</xdr:rowOff>
    </xdr:to>
    <xdr:cxnSp macro="_xll.PtreeEvent_ObjectClick">
      <xdr:nvCxnSpPr>
        <xdr:cNvPr id="141" name="PTObj_DBranchHLine_1_34">
          <a:extLst>
            <a:ext uri="{FF2B5EF4-FFF2-40B4-BE49-F238E27FC236}">
              <a16:creationId xmlns:a16="http://schemas.microsoft.com/office/drawing/2014/main" id="{03165660-E87D-8A6D-EF4D-E0B793EB5771}"/>
            </a:ext>
          </a:extLst>
        </xdr:cNvPr>
        <xdr:cNvCxnSpPr/>
      </xdr:nvCxnSpPr>
      <xdr:spPr>
        <a:xfrm>
          <a:off x="14438122" y="12701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66</xdr:row>
      <xdr:rowOff>173989</xdr:rowOff>
    </xdr:from>
    <xdr:to>
      <xdr:col>8</xdr:col>
      <xdr:colOff>239522</xdr:colOff>
      <xdr:row>68</xdr:row>
      <xdr:rowOff>179070</xdr:rowOff>
    </xdr:to>
    <xdr:cxnSp macro="_xll.PtreeEvent_ObjectClick">
      <xdr:nvCxnSpPr>
        <xdr:cNvPr id="140" name="PTObj_DBranchDLine_1_34">
          <a:extLst>
            <a:ext uri="{FF2B5EF4-FFF2-40B4-BE49-F238E27FC236}">
              <a16:creationId xmlns:a16="http://schemas.microsoft.com/office/drawing/2014/main" id="{CC0C6222-E0E5-BA4A-DCC2-7BD3BC0A0DC5}"/>
            </a:ext>
          </a:extLst>
        </xdr:cNvPr>
        <xdr:cNvCxnSpPr/>
      </xdr:nvCxnSpPr>
      <xdr:spPr>
        <a:xfrm>
          <a:off x="14285722" y="123278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64</xdr:row>
      <xdr:rowOff>179070</xdr:rowOff>
    </xdr:from>
    <xdr:to>
      <xdr:col>9</xdr:col>
      <xdr:colOff>127</xdr:colOff>
      <xdr:row>64</xdr:row>
      <xdr:rowOff>179070</xdr:rowOff>
    </xdr:to>
    <xdr:cxnSp macro="_xll.PtreeEvent_ObjectClick">
      <xdr:nvCxnSpPr>
        <xdr:cNvPr id="137" name="PTObj_DBranchHLine_1_33">
          <a:extLst>
            <a:ext uri="{FF2B5EF4-FFF2-40B4-BE49-F238E27FC236}">
              <a16:creationId xmlns:a16="http://schemas.microsoft.com/office/drawing/2014/main" id="{A27F4EA8-ED4C-F46A-BEA9-C6A894D992E0}"/>
            </a:ext>
          </a:extLst>
        </xdr:cNvPr>
        <xdr:cNvCxnSpPr/>
      </xdr:nvCxnSpPr>
      <xdr:spPr>
        <a:xfrm>
          <a:off x="14438122" y="11964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64</xdr:row>
      <xdr:rowOff>179070</xdr:rowOff>
    </xdr:from>
    <xdr:to>
      <xdr:col>8</xdr:col>
      <xdr:colOff>239522</xdr:colOff>
      <xdr:row>66</xdr:row>
      <xdr:rowOff>173989</xdr:rowOff>
    </xdr:to>
    <xdr:cxnSp macro="_xll.PtreeEvent_ObjectClick">
      <xdr:nvCxnSpPr>
        <xdr:cNvPr id="136" name="PTObj_DBranchDLine_1_33">
          <a:extLst>
            <a:ext uri="{FF2B5EF4-FFF2-40B4-BE49-F238E27FC236}">
              <a16:creationId xmlns:a16="http://schemas.microsoft.com/office/drawing/2014/main" id="{3B174265-5FEC-9C15-F580-A23C0EB2C059}"/>
            </a:ext>
          </a:extLst>
        </xdr:cNvPr>
        <xdr:cNvCxnSpPr/>
      </xdr:nvCxnSpPr>
      <xdr:spPr>
        <a:xfrm flipV="1">
          <a:off x="14285722" y="119646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66</xdr:row>
      <xdr:rowOff>179070</xdr:rowOff>
    </xdr:from>
    <xdr:to>
      <xdr:col>8</xdr:col>
      <xdr:colOff>127</xdr:colOff>
      <xdr:row>66</xdr:row>
      <xdr:rowOff>179070</xdr:rowOff>
    </xdr:to>
    <xdr:cxnSp macro="_xll.PtreeEvent_ObjectClick">
      <xdr:nvCxnSpPr>
        <xdr:cNvPr id="133" name="PTObj_DBranchHLine_1_32">
          <a:extLst>
            <a:ext uri="{FF2B5EF4-FFF2-40B4-BE49-F238E27FC236}">
              <a16:creationId xmlns:a16="http://schemas.microsoft.com/office/drawing/2014/main" id="{0AF32832-E95C-3E11-4902-C0DA8A1FD03E}"/>
            </a:ext>
          </a:extLst>
        </xdr:cNvPr>
        <xdr:cNvCxnSpPr/>
      </xdr:nvCxnSpPr>
      <xdr:spPr>
        <a:xfrm>
          <a:off x="12749022" y="123329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62</xdr:row>
      <xdr:rowOff>173989</xdr:rowOff>
    </xdr:from>
    <xdr:to>
      <xdr:col>7</xdr:col>
      <xdr:colOff>239522</xdr:colOff>
      <xdr:row>66</xdr:row>
      <xdr:rowOff>179070</xdr:rowOff>
    </xdr:to>
    <xdr:cxnSp macro="_xll.PtreeEvent_ObjectClick">
      <xdr:nvCxnSpPr>
        <xdr:cNvPr id="132" name="PTObj_DBranchDLine_1_32">
          <a:extLst>
            <a:ext uri="{FF2B5EF4-FFF2-40B4-BE49-F238E27FC236}">
              <a16:creationId xmlns:a16="http://schemas.microsoft.com/office/drawing/2014/main" id="{E64670E2-D1D5-9F6B-4509-D42CDDAEDAC5}"/>
            </a:ext>
          </a:extLst>
        </xdr:cNvPr>
        <xdr:cNvCxnSpPr/>
      </xdr:nvCxnSpPr>
      <xdr:spPr>
        <a:xfrm>
          <a:off x="12596622" y="1159128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60</xdr:row>
      <xdr:rowOff>179070</xdr:rowOff>
    </xdr:from>
    <xdr:to>
      <xdr:col>9</xdr:col>
      <xdr:colOff>127</xdr:colOff>
      <xdr:row>60</xdr:row>
      <xdr:rowOff>179070</xdr:rowOff>
    </xdr:to>
    <xdr:cxnSp macro="_xll.PtreeEvent_ObjectClick">
      <xdr:nvCxnSpPr>
        <xdr:cNvPr id="129" name="PTObj_DBranchHLine_1_31">
          <a:extLst>
            <a:ext uri="{FF2B5EF4-FFF2-40B4-BE49-F238E27FC236}">
              <a16:creationId xmlns:a16="http://schemas.microsoft.com/office/drawing/2014/main" id="{A2FF8851-474B-5B41-6208-CA8BF6034BCD}"/>
            </a:ext>
          </a:extLst>
        </xdr:cNvPr>
        <xdr:cNvCxnSpPr/>
      </xdr:nvCxnSpPr>
      <xdr:spPr>
        <a:xfrm>
          <a:off x="14438122" y="11228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58</xdr:row>
      <xdr:rowOff>173989</xdr:rowOff>
    </xdr:from>
    <xdr:to>
      <xdr:col>8</xdr:col>
      <xdr:colOff>239522</xdr:colOff>
      <xdr:row>60</xdr:row>
      <xdr:rowOff>179070</xdr:rowOff>
    </xdr:to>
    <xdr:cxnSp macro="_xll.PtreeEvent_ObjectClick">
      <xdr:nvCxnSpPr>
        <xdr:cNvPr id="128" name="PTObj_DBranchDLine_1_31">
          <a:extLst>
            <a:ext uri="{FF2B5EF4-FFF2-40B4-BE49-F238E27FC236}">
              <a16:creationId xmlns:a16="http://schemas.microsoft.com/office/drawing/2014/main" id="{D16B9F8E-C732-F71F-4A83-4F539A291964}"/>
            </a:ext>
          </a:extLst>
        </xdr:cNvPr>
        <xdr:cNvCxnSpPr/>
      </xdr:nvCxnSpPr>
      <xdr:spPr>
        <a:xfrm>
          <a:off x="14285722" y="108546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56</xdr:row>
      <xdr:rowOff>179070</xdr:rowOff>
    </xdr:from>
    <xdr:to>
      <xdr:col>9</xdr:col>
      <xdr:colOff>127</xdr:colOff>
      <xdr:row>56</xdr:row>
      <xdr:rowOff>179070</xdr:rowOff>
    </xdr:to>
    <xdr:cxnSp macro="_xll.PtreeEvent_ObjectClick">
      <xdr:nvCxnSpPr>
        <xdr:cNvPr id="125" name="PTObj_DBranchHLine_1_30">
          <a:extLst>
            <a:ext uri="{FF2B5EF4-FFF2-40B4-BE49-F238E27FC236}">
              <a16:creationId xmlns:a16="http://schemas.microsoft.com/office/drawing/2014/main" id="{3E61E65F-DF2A-EA87-72ED-E9A2E2366775}"/>
            </a:ext>
          </a:extLst>
        </xdr:cNvPr>
        <xdr:cNvCxnSpPr/>
      </xdr:nvCxnSpPr>
      <xdr:spPr>
        <a:xfrm>
          <a:off x="14438122" y="10491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56</xdr:row>
      <xdr:rowOff>179070</xdr:rowOff>
    </xdr:from>
    <xdr:to>
      <xdr:col>8</xdr:col>
      <xdr:colOff>239522</xdr:colOff>
      <xdr:row>58</xdr:row>
      <xdr:rowOff>173989</xdr:rowOff>
    </xdr:to>
    <xdr:cxnSp macro="_xll.PtreeEvent_ObjectClick">
      <xdr:nvCxnSpPr>
        <xdr:cNvPr id="124" name="PTObj_DBranchDLine_1_30">
          <a:extLst>
            <a:ext uri="{FF2B5EF4-FFF2-40B4-BE49-F238E27FC236}">
              <a16:creationId xmlns:a16="http://schemas.microsoft.com/office/drawing/2014/main" id="{26B73A16-9569-E975-34E9-80004E09665D}"/>
            </a:ext>
          </a:extLst>
        </xdr:cNvPr>
        <xdr:cNvCxnSpPr/>
      </xdr:nvCxnSpPr>
      <xdr:spPr>
        <a:xfrm flipV="1">
          <a:off x="14285722" y="10491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58</xdr:row>
      <xdr:rowOff>179070</xdr:rowOff>
    </xdr:from>
    <xdr:to>
      <xdr:col>8</xdr:col>
      <xdr:colOff>127</xdr:colOff>
      <xdr:row>58</xdr:row>
      <xdr:rowOff>179070</xdr:rowOff>
    </xdr:to>
    <xdr:cxnSp macro="_xll.PtreeEvent_ObjectClick">
      <xdr:nvCxnSpPr>
        <xdr:cNvPr id="121" name="PTObj_DBranchHLine_1_29">
          <a:extLst>
            <a:ext uri="{FF2B5EF4-FFF2-40B4-BE49-F238E27FC236}">
              <a16:creationId xmlns:a16="http://schemas.microsoft.com/office/drawing/2014/main" id="{26381451-E218-06A6-B49F-DA0C5EBAB483}"/>
            </a:ext>
          </a:extLst>
        </xdr:cNvPr>
        <xdr:cNvCxnSpPr/>
      </xdr:nvCxnSpPr>
      <xdr:spPr>
        <a:xfrm>
          <a:off x="12749022" y="108597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58</xdr:row>
      <xdr:rowOff>179070</xdr:rowOff>
    </xdr:from>
    <xdr:to>
      <xdr:col>7</xdr:col>
      <xdr:colOff>239522</xdr:colOff>
      <xdr:row>62</xdr:row>
      <xdr:rowOff>173989</xdr:rowOff>
    </xdr:to>
    <xdr:cxnSp macro="_xll.PtreeEvent_ObjectClick">
      <xdr:nvCxnSpPr>
        <xdr:cNvPr id="120" name="PTObj_DBranchDLine_1_29">
          <a:extLst>
            <a:ext uri="{FF2B5EF4-FFF2-40B4-BE49-F238E27FC236}">
              <a16:creationId xmlns:a16="http://schemas.microsoft.com/office/drawing/2014/main" id="{6B47344D-F372-7E9C-1EF2-90B45A45803F}"/>
            </a:ext>
          </a:extLst>
        </xdr:cNvPr>
        <xdr:cNvCxnSpPr/>
      </xdr:nvCxnSpPr>
      <xdr:spPr>
        <a:xfrm flipV="1">
          <a:off x="12596622" y="108597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62</xdr:row>
      <xdr:rowOff>179070</xdr:rowOff>
    </xdr:from>
    <xdr:to>
      <xdr:col>7</xdr:col>
      <xdr:colOff>127</xdr:colOff>
      <xdr:row>62</xdr:row>
      <xdr:rowOff>179070</xdr:rowOff>
    </xdr:to>
    <xdr:cxnSp macro="_xll.PtreeEvent_ObjectClick">
      <xdr:nvCxnSpPr>
        <xdr:cNvPr id="117" name="PTObj_DBranchHLine_1_28">
          <a:extLst>
            <a:ext uri="{FF2B5EF4-FFF2-40B4-BE49-F238E27FC236}">
              <a16:creationId xmlns:a16="http://schemas.microsoft.com/office/drawing/2014/main" id="{9BFA6965-428B-CC96-9459-FF04690565BF}"/>
            </a:ext>
          </a:extLst>
        </xdr:cNvPr>
        <xdr:cNvCxnSpPr/>
      </xdr:nvCxnSpPr>
      <xdr:spPr>
        <a:xfrm>
          <a:off x="11142472" y="115963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54</xdr:row>
      <xdr:rowOff>173989</xdr:rowOff>
    </xdr:from>
    <xdr:to>
      <xdr:col>6</xdr:col>
      <xdr:colOff>239522</xdr:colOff>
      <xdr:row>62</xdr:row>
      <xdr:rowOff>179070</xdr:rowOff>
    </xdr:to>
    <xdr:cxnSp macro="_xll.PtreeEvent_ObjectClick">
      <xdr:nvCxnSpPr>
        <xdr:cNvPr id="116" name="PTObj_DBranchDLine_1_28">
          <a:extLst>
            <a:ext uri="{FF2B5EF4-FFF2-40B4-BE49-F238E27FC236}">
              <a16:creationId xmlns:a16="http://schemas.microsoft.com/office/drawing/2014/main" id="{69F8F81F-2EE6-2FFC-1CF6-CC593CC59A1C}"/>
            </a:ext>
          </a:extLst>
        </xdr:cNvPr>
        <xdr:cNvCxnSpPr/>
      </xdr:nvCxnSpPr>
      <xdr:spPr>
        <a:xfrm>
          <a:off x="10990072" y="10118089"/>
          <a:ext cx="152400" cy="14782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52</xdr:row>
      <xdr:rowOff>179070</xdr:rowOff>
    </xdr:from>
    <xdr:to>
      <xdr:col>9</xdr:col>
      <xdr:colOff>127</xdr:colOff>
      <xdr:row>52</xdr:row>
      <xdr:rowOff>179070</xdr:rowOff>
    </xdr:to>
    <xdr:cxnSp macro="_xll.PtreeEvent_ObjectClick">
      <xdr:nvCxnSpPr>
        <xdr:cNvPr id="113" name="PTObj_DBranchHLine_1_27">
          <a:extLst>
            <a:ext uri="{FF2B5EF4-FFF2-40B4-BE49-F238E27FC236}">
              <a16:creationId xmlns:a16="http://schemas.microsoft.com/office/drawing/2014/main" id="{EEE994A6-E523-CCE7-107C-D067558142FE}"/>
            </a:ext>
          </a:extLst>
        </xdr:cNvPr>
        <xdr:cNvCxnSpPr/>
      </xdr:nvCxnSpPr>
      <xdr:spPr>
        <a:xfrm>
          <a:off x="14438122" y="9754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50</xdr:row>
      <xdr:rowOff>173989</xdr:rowOff>
    </xdr:from>
    <xdr:to>
      <xdr:col>8</xdr:col>
      <xdr:colOff>239522</xdr:colOff>
      <xdr:row>52</xdr:row>
      <xdr:rowOff>179070</xdr:rowOff>
    </xdr:to>
    <xdr:cxnSp macro="_xll.PtreeEvent_ObjectClick">
      <xdr:nvCxnSpPr>
        <xdr:cNvPr id="112" name="PTObj_DBranchDLine_1_27">
          <a:extLst>
            <a:ext uri="{FF2B5EF4-FFF2-40B4-BE49-F238E27FC236}">
              <a16:creationId xmlns:a16="http://schemas.microsoft.com/office/drawing/2014/main" id="{CFD49FCC-CBB1-A03E-AF0D-C282B0376465}"/>
            </a:ext>
          </a:extLst>
        </xdr:cNvPr>
        <xdr:cNvCxnSpPr/>
      </xdr:nvCxnSpPr>
      <xdr:spPr>
        <a:xfrm>
          <a:off x="14285722" y="93814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48</xdr:row>
      <xdr:rowOff>179070</xdr:rowOff>
    </xdr:from>
    <xdr:to>
      <xdr:col>9</xdr:col>
      <xdr:colOff>127</xdr:colOff>
      <xdr:row>48</xdr:row>
      <xdr:rowOff>179070</xdr:rowOff>
    </xdr:to>
    <xdr:cxnSp macro="_xll.PtreeEvent_ObjectClick">
      <xdr:nvCxnSpPr>
        <xdr:cNvPr id="109" name="PTObj_DBranchHLine_1_26">
          <a:extLst>
            <a:ext uri="{FF2B5EF4-FFF2-40B4-BE49-F238E27FC236}">
              <a16:creationId xmlns:a16="http://schemas.microsoft.com/office/drawing/2014/main" id="{3800A3AB-BDA8-82CD-1F3C-8707EB80BED4}"/>
            </a:ext>
          </a:extLst>
        </xdr:cNvPr>
        <xdr:cNvCxnSpPr/>
      </xdr:nvCxnSpPr>
      <xdr:spPr>
        <a:xfrm>
          <a:off x="14438122" y="9018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48</xdr:row>
      <xdr:rowOff>179070</xdr:rowOff>
    </xdr:from>
    <xdr:to>
      <xdr:col>8</xdr:col>
      <xdr:colOff>239522</xdr:colOff>
      <xdr:row>50</xdr:row>
      <xdr:rowOff>173989</xdr:rowOff>
    </xdr:to>
    <xdr:cxnSp macro="_xll.PtreeEvent_ObjectClick">
      <xdr:nvCxnSpPr>
        <xdr:cNvPr id="108" name="PTObj_DBranchDLine_1_26">
          <a:extLst>
            <a:ext uri="{FF2B5EF4-FFF2-40B4-BE49-F238E27FC236}">
              <a16:creationId xmlns:a16="http://schemas.microsoft.com/office/drawing/2014/main" id="{D5728EED-A5E8-5A66-D306-0BD1B3C92586}"/>
            </a:ext>
          </a:extLst>
        </xdr:cNvPr>
        <xdr:cNvCxnSpPr/>
      </xdr:nvCxnSpPr>
      <xdr:spPr>
        <a:xfrm flipV="1">
          <a:off x="14285722" y="90182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50</xdr:row>
      <xdr:rowOff>179070</xdr:rowOff>
    </xdr:from>
    <xdr:to>
      <xdr:col>8</xdr:col>
      <xdr:colOff>127</xdr:colOff>
      <xdr:row>50</xdr:row>
      <xdr:rowOff>179070</xdr:rowOff>
    </xdr:to>
    <xdr:cxnSp macro="_xll.PtreeEvent_ObjectClick">
      <xdr:nvCxnSpPr>
        <xdr:cNvPr id="105" name="PTObj_DBranchHLine_1_25">
          <a:extLst>
            <a:ext uri="{FF2B5EF4-FFF2-40B4-BE49-F238E27FC236}">
              <a16:creationId xmlns:a16="http://schemas.microsoft.com/office/drawing/2014/main" id="{155B23FB-7E6B-EE8F-82D8-FDE20BE9366D}"/>
            </a:ext>
          </a:extLst>
        </xdr:cNvPr>
        <xdr:cNvCxnSpPr/>
      </xdr:nvCxnSpPr>
      <xdr:spPr>
        <a:xfrm>
          <a:off x="12749022" y="93865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46</xdr:row>
      <xdr:rowOff>173989</xdr:rowOff>
    </xdr:from>
    <xdr:to>
      <xdr:col>7</xdr:col>
      <xdr:colOff>239522</xdr:colOff>
      <xdr:row>50</xdr:row>
      <xdr:rowOff>179070</xdr:rowOff>
    </xdr:to>
    <xdr:cxnSp macro="_xll.PtreeEvent_ObjectClick">
      <xdr:nvCxnSpPr>
        <xdr:cNvPr id="104" name="PTObj_DBranchDLine_1_25">
          <a:extLst>
            <a:ext uri="{FF2B5EF4-FFF2-40B4-BE49-F238E27FC236}">
              <a16:creationId xmlns:a16="http://schemas.microsoft.com/office/drawing/2014/main" id="{471015EC-CEFB-6311-8A25-02394BE5A081}"/>
            </a:ext>
          </a:extLst>
        </xdr:cNvPr>
        <xdr:cNvCxnSpPr/>
      </xdr:nvCxnSpPr>
      <xdr:spPr>
        <a:xfrm>
          <a:off x="12596622" y="864488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44</xdr:row>
      <xdr:rowOff>179070</xdr:rowOff>
    </xdr:from>
    <xdr:to>
      <xdr:col>9</xdr:col>
      <xdr:colOff>127</xdr:colOff>
      <xdr:row>44</xdr:row>
      <xdr:rowOff>179070</xdr:rowOff>
    </xdr:to>
    <xdr:cxnSp macro="_xll.PtreeEvent_ObjectClick">
      <xdr:nvCxnSpPr>
        <xdr:cNvPr id="101" name="PTObj_DBranchHLine_1_24">
          <a:extLst>
            <a:ext uri="{FF2B5EF4-FFF2-40B4-BE49-F238E27FC236}">
              <a16:creationId xmlns:a16="http://schemas.microsoft.com/office/drawing/2014/main" id="{3923EC81-B496-4BFE-EEC9-60C795B0941D}"/>
            </a:ext>
          </a:extLst>
        </xdr:cNvPr>
        <xdr:cNvCxnSpPr/>
      </xdr:nvCxnSpPr>
      <xdr:spPr>
        <a:xfrm>
          <a:off x="14438122" y="8281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42</xdr:row>
      <xdr:rowOff>173989</xdr:rowOff>
    </xdr:from>
    <xdr:to>
      <xdr:col>8</xdr:col>
      <xdr:colOff>239522</xdr:colOff>
      <xdr:row>44</xdr:row>
      <xdr:rowOff>179070</xdr:rowOff>
    </xdr:to>
    <xdr:cxnSp macro="_xll.PtreeEvent_ObjectClick">
      <xdr:nvCxnSpPr>
        <xdr:cNvPr id="100" name="PTObj_DBranchDLine_1_24">
          <a:extLst>
            <a:ext uri="{FF2B5EF4-FFF2-40B4-BE49-F238E27FC236}">
              <a16:creationId xmlns:a16="http://schemas.microsoft.com/office/drawing/2014/main" id="{656DA8F8-148D-D144-3A20-B774DE984FB4}"/>
            </a:ext>
          </a:extLst>
        </xdr:cNvPr>
        <xdr:cNvCxnSpPr/>
      </xdr:nvCxnSpPr>
      <xdr:spPr>
        <a:xfrm>
          <a:off x="14285722" y="79082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40</xdr:row>
      <xdr:rowOff>179070</xdr:rowOff>
    </xdr:from>
    <xdr:to>
      <xdr:col>9</xdr:col>
      <xdr:colOff>127</xdr:colOff>
      <xdr:row>40</xdr:row>
      <xdr:rowOff>179070</xdr:rowOff>
    </xdr:to>
    <xdr:cxnSp macro="_xll.PtreeEvent_ObjectClick">
      <xdr:nvCxnSpPr>
        <xdr:cNvPr id="97" name="PTObj_DBranchHLine_1_23">
          <a:extLst>
            <a:ext uri="{FF2B5EF4-FFF2-40B4-BE49-F238E27FC236}">
              <a16:creationId xmlns:a16="http://schemas.microsoft.com/office/drawing/2014/main" id="{845ED2AB-536F-1B46-8498-82BDDB128125}"/>
            </a:ext>
          </a:extLst>
        </xdr:cNvPr>
        <xdr:cNvCxnSpPr/>
      </xdr:nvCxnSpPr>
      <xdr:spPr>
        <a:xfrm>
          <a:off x="14438122" y="7545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40</xdr:row>
      <xdr:rowOff>179070</xdr:rowOff>
    </xdr:from>
    <xdr:to>
      <xdr:col>8</xdr:col>
      <xdr:colOff>239522</xdr:colOff>
      <xdr:row>42</xdr:row>
      <xdr:rowOff>173989</xdr:rowOff>
    </xdr:to>
    <xdr:cxnSp macro="_xll.PtreeEvent_ObjectClick">
      <xdr:nvCxnSpPr>
        <xdr:cNvPr id="96" name="PTObj_DBranchDLine_1_23">
          <a:extLst>
            <a:ext uri="{FF2B5EF4-FFF2-40B4-BE49-F238E27FC236}">
              <a16:creationId xmlns:a16="http://schemas.microsoft.com/office/drawing/2014/main" id="{3578AE50-CCED-339B-ACC8-BC14B090AAF5}"/>
            </a:ext>
          </a:extLst>
        </xdr:cNvPr>
        <xdr:cNvCxnSpPr/>
      </xdr:nvCxnSpPr>
      <xdr:spPr>
        <a:xfrm flipV="1">
          <a:off x="14285722" y="75450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42</xdr:row>
      <xdr:rowOff>179070</xdr:rowOff>
    </xdr:from>
    <xdr:to>
      <xdr:col>8</xdr:col>
      <xdr:colOff>127</xdr:colOff>
      <xdr:row>42</xdr:row>
      <xdr:rowOff>179070</xdr:rowOff>
    </xdr:to>
    <xdr:cxnSp macro="_xll.PtreeEvent_ObjectClick">
      <xdr:nvCxnSpPr>
        <xdr:cNvPr id="93" name="PTObj_DBranchHLine_1_22">
          <a:extLst>
            <a:ext uri="{FF2B5EF4-FFF2-40B4-BE49-F238E27FC236}">
              <a16:creationId xmlns:a16="http://schemas.microsoft.com/office/drawing/2014/main" id="{3F6AAACB-44CD-B0C7-57E3-A3B575746AD3}"/>
            </a:ext>
          </a:extLst>
        </xdr:cNvPr>
        <xdr:cNvCxnSpPr/>
      </xdr:nvCxnSpPr>
      <xdr:spPr>
        <a:xfrm>
          <a:off x="12749022" y="79133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42</xdr:row>
      <xdr:rowOff>179070</xdr:rowOff>
    </xdr:from>
    <xdr:to>
      <xdr:col>7</xdr:col>
      <xdr:colOff>239522</xdr:colOff>
      <xdr:row>46</xdr:row>
      <xdr:rowOff>173989</xdr:rowOff>
    </xdr:to>
    <xdr:cxnSp macro="_xll.PtreeEvent_ObjectClick">
      <xdr:nvCxnSpPr>
        <xdr:cNvPr id="92" name="PTObj_DBranchDLine_1_22">
          <a:extLst>
            <a:ext uri="{FF2B5EF4-FFF2-40B4-BE49-F238E27FC236}">
              <a16:creationId xmlns:a16="http://schemas.microsoft.com/office/drawing/2014/main" id="{BCC6974C-EEAE-BEE6-6638-3825A511BBD3}"/>
            </a:ext>
          </a:extLst>
        </xdr:cNvPr>
        <xdr:cNvCxnSpPr/>
      </xdr:nvCxnSpPr>
      <xdr:spPr>
        <a:xfrm flipV="1">
          <a:off x="12596622" y="79133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46</xdr:row>
      <xdr:rowOff>179070</xdr:rowOff>
    </xdr:from>
    <xdr:to>
      <xdr:col>7</xdr:col>
      <xdr:colOff>127</xdr:colOff>
      <xdr:row>46</xdr:row>
      <xdr:rowOff>179070</xdr:rowOff>
    </xdr:to>
    <xdr:cxnSp macro="_xll.PtreeEvent_ObjectClick">
      <xdr:nvCxnSpPr>
        <xdr:cNvPr id="89" name="PTObj_DBranchHLine_1_21">
          <a:extLst>
            <a:ext uri="{FF2B5EF4-FFF2-40B4-BE49-F238E27FC236}">
              <a16:creationId xmlns:a16="http://schemas.microsoft.com/office/drawing/2014/main" id="{85E32C5E-3E1C-B860-581C-5A2CAD19AE92}"/>
            </a:ext>
          </a:extLst>
        </xdr:cNvPr>
        <xdr:cNvCxnSpPr/>
      </xdr:nvCxnSpPr>
      <xdr:spPr>
        <a:xfrm>
          <a:off x="11142472" y="86499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46</xdr:row>
      <xdr:rowOff>179070</xdr:rowOff>
    </xdr:from>
    <xdr:to>
      <xdr:col>6</xdr:col>
      <xdr:colOff>239522</xdr:colOff>
      <xdr:row>54</xdr:row>
      <xdr:rowOff>173989</xdr:rowOff>
    </xdr:to>
    <xdr:cxnSp macro="_xll.PtreeEvent_ObjectClick">
      <xdr:nvCxnSpPr>
        <xdr:cNvPr id="88" name="PTObj_DBranchDLine_1_21">
          <a:extLst>
            <a:ext uri="{FF2B5EF4-FFF2-40B4-BE49-F238E27FC236}">
              <a16:creationId xmlns:a16="http://schemas.microsoft.com/office/drawing/2014/main" id="{6D8DEAB7-EBB8-C7B3-0136-047C2995B987}"/>
            </a:ext>
          </a:extLst>
        </xdr:cNvPr>
        <xdr:cNvCxnSpPr/>
      </xdr:nvCxnSpPr>
      <xdr:spPr>
        <a:xfrm flipV="1">
          <a:off x="10990072" y="864997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54</xdr:row>
      <xdr:rowOff>179070</xdr:rowOff>
    </xdr:from>
    <xdr:to>
      <xdr:col>6</xdr:col>
      <xdr:colOff>127</xdr:colOff>
      <xdr:row>54</xdr:row>
      <xdr:rowOff>179070</xdr:rowOff>
    </xdr:to>
    <xdr:cxnSp macro="_xll.PtreeEvent_ObjectClick">
      <xdr:nvCxnSpPr>
        <xdr:cNvPr id="85" name="PTObj_DBranchHLine_1_20">
          <a:extLst>
            <a:ext uri="{FF2B5EF4-FFF2-40B4-BE49-F238E27FC236}">
              <a16:creationId xmlns:a16="http://schemas.microsoft.com/office/drawing/2014/main" id="{A20CBC42-DE14-3E1C-2D8A-1D5796A6EC0A}"/>
            </a:ext>
          </a:extLst>
        </xdr:cNvPr>
        <xdr:cNvCxnSpPr/>
      </xdr:nvCxnSpPr>
      <xdr:spPr>
        <a:xfrm>
          <a:off x="8856472" y="10123170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38</xdr:row>
      <xdr:rowOff>173989</xdr:rowOff>
    </xdr:from>
    <xdr:to>
      <xdr:col>5</xdr:col>
      <xdr:colOff>239522</xdr:colOff>
      <xdr:row>54</xdr:row>
      <xdr:rowOff>179070</xdr:rowOff>
    </xdr:to>
    <xdr:cxnSp macro="_xll.PtreeEvent_ObjectClick">
      <xdr:nvCxnSpPr>
        <xdr:cNvPr id="84" name="PTObj_DBranchDLine_1_20">
          <a:extLst>
            <a:ext uri="{FF2B5EF4-FFF2-40B4-BE49-F238E27FC236}">
              <a16:creationId xmlns:a16="http://schemas.microsoft.com/office/drawing/2014/main" id="{CD6DC215-08EB-150B-585E-2DA8273AE722}"/>
            </a:ext>
          </a:extLst>
        </xdr:cNvPr>
        <xdr:cNvCxnSpPr/>
      </xdr:nvCxnSpPr>
      <xdr:spPr>
        <a:xfrm>
          <a:off x="8704072" y="7171689"/>
          <a:ext cx="152400" cy="29514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36</xdr:row>
      <xdr:rowOff>179070</xdr:rowOff>
    </xdr:from>
    <xdr:to>
      <xdr:col>9</xdr:col>
      <xdr:colOff>127</xdr:colOff>
      <xdr:row>36</xdr:row>
      <xdr:rowOff>179070</xdr:rowOff>
    </xdr:to>
    <xdr:cxnSp macro="_xll.PtreeEvent_ObjectClick">
      <xdr:nvCxnSpPr>
        <xdr:cNvPr id="81" name="PTObj_DBranchHLine_1_19">
          <a:extLst>
            <a:ext uri="{FF2B5EF4-FFF2-40B4-BE49-F238E27FC236}">
              <a16:creationId xmlns:a16="http://schemas.microsoft.com/office/drawing/2014/main" id="{6D7DF47D-339D-8845-C462-A86847B92D9E}"/>
            </a:ext>
          </a:extLst>
        </xdr:cNvPr>
        <xdr:cNvCxnSpPr/>
      </xdr:nvCxnSpPr>
      <xdr:spPr>
        <a:xfrm>
          <a:off x="14438122" y="6808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34</xdr:row>
      <xdr:rowOff>173990</xdr:rowOff>
    </xdr:from>
    <xdr:to>
      <xdr:col>8</xdr:col>
      <xdr:colOff>239522</xdr:colOff>
      <xdr:row>36</xdr:row>
      <xdr:rowOff>179070</xdr:rowOff>
    </xdr:to>
    <xdr:cxnSp macro="_xll.PtreeEvent_ObjectClick">
      <xdr:nvCxnSpPr>
        <xdr:cNvPr id="80" name="PTObj_DBranchDLine_1_19">
          <a:extLst>
            <a:ext uri="{FF2B5EF4-FFF2-40B4-BE49-F238E27FC236}">
              <a16:creationId xmlns:a16="http://schemas.microsoft.com/office/drawing/2014/main" id="{A802C419-26B8-DA7F-AE7B-84AE119ADA82}"/>
            </a:ext>
          </a:extLst>
        </xdr:cNvPr>
        <xdr:cNvCxnSpPr/>
      </xdr:nvCxnSpPr>
      <xdr:spPr>
        <a:xfrm>
          <a:off x="14285722" y="64350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32</xdr:row>
      <xdr:rowOff>179070</xdr:rowOff>
    </xdr:from>
    <xdr:to>
      <xdr:col>9</xdr:col>
      <xdr:colOff>127</xdr:colOff>
      <xdr:row>32</xdr:row>
      <xdr:rowOff>179070</xdr:rowOff>
    </xdr:to>
    <xdr:cxnSp macro="_xll.PtreeEvent_ObjectClick">
      <xdr:nvCxnSpPr>
        <xdr:cNvPr id="77" name="PTObj_DBranchHLine_1_18">
          <a:extLst>
            <a:ext uri="{FF2B5EF4-FFF2-40B4-BE49-F238E27FC236}">
              <a16:creationId xmlns:a16="http://schemas.microsoft.com/office/drawing/2014/main" id="{1DB064F3-8560-D2DA-B2E4-CF9845CB7745}"/>
            </a:ext>
          </a:extLst>
        </xdr:cNvPr>
        <xdr:cNvCxnSpPr/>
      </xdr:nvCxnSpPr>
      <xdr:spPr>
        <a:xfrm>
          <a:off x="14438122" y="6071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32</xdr:row>
      <xdr:rowOff>179070</xdr:rowOff>
    </xdr:from>
    <xdr:to>
      <xdr:col>8</xdr:col>
      <xdr:colOff>239522</xdr:colOff>
      <xdr:row>34</xdr:row>
      <xdr:rowOff>173990</xdr:rowOff>
    </xdr:to>
    <xdr:cxnSp macro="_xll.PtreeEvent_ObjectClick">
      <xdr:nvCxnSpPr>
        <xdr:cNvPr id="76" name="PTObj_DBranchDLine_1_18">
          <a:extLst>
            <a:ext uri="{FF2B5EF4-FFF2-40B4-BE49-F238E27FC236}">
              <a16:creationId xmlns:a16="http://schemas.microsoft.com/office/drawing/2014/main" id="{6BC5CB0A-BFAF-D538-E443-03A21A168199}"/>
            </a:ext>
          </a:extLst>
        </xdr:cNvPr>
        <xdr:cNvCxnSpPr/>
      </xdr:nvCxnSpPr>
      <xdr:spPr>
        <a:xfrm flipV="1">
          <a:off x="14285722" y="60718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34</xdr:row>
      <xdr:rowOff>179070</xdr:rowOff>
    </xdr:from>
    <xdr:to>
      <xdr:col>8</xdr:col>
      <xdr:colOff>127</xdr:colOff>
      <xdr:row>34</xdr:row>
      <xdr:rowOff>179070</xdr:rowOff>
    </xdr:to>
    <xdr:cxnSp macro="_xll.PtreeEvent_ObjectClick">
      <xdr:nvCxnSpPr>
        <xdr:cNvPr id="73" name="PTObj_DBranchHLine_1_17">
          <a:extLst>
            <a:ext uri="{FF2B5EF4-FFF2-40B4-BE49-F238E27FC236}">
              <a16:creationId xmlns:a16="http://schemas.microsoft.com/office/drawing/2014/main" id="{643834D8-82C8-144B-6906-DDB50A66EC84}"/>
            </a:ext>
          </a:extLst>
        </xdr:cNvPr>
        <xdr:cNvCxnSpPr/>
      </xdr:nvCxnSpPr>
      <xdr:spPr>
        <a:xfrm>
          <a:off x="12749022" y="64401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30</xdr:row>
      <xdr:rowOff>173990</xdr:rowOff>
    </xdr:from>
    <xdr:to>
      <xdr:col>7</xdr:col>
      <xdr:colOff>239522</xdr:colOff>
      <xdr:row>34</xdr:row>
      <xdr:rowOff>179070</xdr:rowOff>
    </xdr:to>
    <xdr:cxnSp macro="_xll.PtreeEvent_ObjectClick">
      <xdr:nvCxnSpPr>
        <xdr:cNvPr id="72" name="PTObj_DBranchDLine_1_17">
          <a:extLst>
            <a:ext uri="{FF2B5EF4-FFF2-40B4-BE49-F238E27FC236}">
              <a16:creationId xmlns:a16="http://schemas.microsoft.com/office/drawing/2014/main" id="{CDE955E1-E6A5-DDB7-FF03-AC50845D1622}"/>
            </a:ext>
          </a:extLst>
        </xdr:cNvPr>
        <xdr:cNvCxnSpPr/>
      </xdr:nvCxnSpPr>
      <xdr:spPr>
        <a:xfrm>
          <a:off x="12596622" y="569849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28</xdr:row>
      <xdr:rowOff>179070</xdr:rowOff>
    </xdr:from>
    <xdr:to>
      <xdr:col>9</xdr:col>
      <xdr:colOff>127</xdr:colOff>
      <xdr:row>28</xdr:row>
      <xdr:rowOff>179070</xdr:rowOff>
    </xdr:to>
    <xdr:cxnSp macro="_xll.PtreeEvent_ObjectClick">
      <xdr:nvCxnSpPr>
        <xdr:cNvPr id="69" name="PTObj_DBranchHLine_1_16">
          <a:extLst>
            <a:ext uri="{FF2B5EF4-FFF2-40B4-BE49-F238E27FC236}">
              <a16:creationId xmlns:a16="http://schemas.microsoft.com/office/drawing/2014/main" id="{8CD66B62-0F8E-E3B2-7F93-E73792D30E5D}"/>
            </a:ext>
          </a:extLst>
        </xdr:cNvPr>
        <xdr:cNvCxnSpPr/>
      </xdr:nvCxnSpPr>
      <xdr:spPr>
        <a:xfrm>
          <a:off x="14438122" y="5335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26</xdr:row>
      <xdr:rowOff>173990</xdr:rowOff>
    </xdr:from>
    <xdr:to>
      <xdr:col>8</xdr:col>
      <xdr:colOff>239522</xdr:colOff>
      <xdr:row>28</xdr:row>
      <xdr:rowOff>179070</xdr:rowOff>
    </xdr:to>
    <xdr:cxnSp macro="_xll.PtreeEvent_ObjectClick">
      <xdr:nvCxnSpPr>
        <xdr:cNvPr id="68" name="PTObj_DBranchDLine_1_16">
          <a:extLst>
            <a:ext uri="{FF2B5EF4-FFF2-40B4-BE49-F238E27FC236}">
              <a16:creationId xmlns:a16="http://schemas.microsoft.com/office/drawing/2014/main" id="{20B44C40-2B79-A8D4-3CE8-90EA869D640A}"/>
            </a:ext>
          </a:extLst>
        </xdr:cNvPr>
        <xdr:cNvCxnSpPr/>
      </xdr:nvCxnSpPr>
      <xdr:spPr>
        <a:xfrm>
          <a:off x="14285722" y="49618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24</xdr:row>
      <xdr:rowOff>179070</xdr:rowOff>
    </xdr:from>
    <xdr:to>
      <xdr:col>9</xdr:col>
      <xdr:colOff>127</xdr:colOff>
      <xdr:row>24</xdr:row>
      <xdr:rowOff>179070</xdr:rowOff>
    </xdr:to>
    <xdr:cxnSp macro="_xll.PtreeEvent_ObjectClick">
      <xdr:nvCxnSpPr>
        <xdr:cNvPr id="65" name="PTObj_DBranchHLine_1_15">
          <a:extLst>
            <a:ext uri="{FF2B5EF4-FFF2-40B4-BE49-F238E27FC236}">
              <a16:creationId xmlns:a16="http://schemas.microsoft.com/office/drawing/2014/main" id="{4FBC2DEF-0F11-D1C0-B184-C532682CFA1D}"/>
            </a:ext>
          </a:extLst>
        </xdr:cNvPr>
        <xdr:cNvCxnSpPr/>
      </xdr:nvCxnSpPr>
      <xdr:spPr>
        <a:xfrm>
          <a:off x="14438122" y="45986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24</xdr:row>
      <xdr:rowOff>179070</xdr:rowOff>
    </xdr:from>
    <xdr:to>
      <xdr:col>8</xdr:col>
      <xdr:colOff>239522</xdr:colOff>
      <xdr:row>26</xdr:row>
      <xdr:rowOff>173990</xdr:rowOff>
    </xdr:to>
    <xdr:cxnSp macro="_xll.PtreeEvent_ObjectClick">
      <xdr:nvCxnSpPr>
        <xdr:cNvPr id="64" name="PTObj_DBranchDLine_1_15">
          <a:extLst>
            <a:ext uri="{FF2B5EF4-FFF2-40B4-BE49-F238E27FC236}">
              <a16:creationId xmlns:a16="http://schemas.microsoft.com/office/drawing/2014/main" id="{209F0DB1-899D-F72C-BC8B-97E0C131A2BF}"/>
            </a:ext>
          </a:extLst>
        </xdr:cNvPr>
        <xdr:cNvCxnSpPr/>
      </xdr:nvCxnSpPr>
      <xdr:spPr>
        <a:xfrm flipV="1">
          <a:off x="14285722" y="45986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26</xdr:row>
      <xdr:rowOff>179070</xdr:rowOff>
    </xdr:from>
    <xdr:to>
      <xdr:col>8</xdr:col>
      <xdr:colOff>127</xdr:colOff>
      <xdr:row>26</xdr:row>
      <xdr:rowOff>179070</xdr:rowOff>
    </xdr:to>
    <xdr:cxnSp macro="_xll.PtreeEvent_ObjectClick">
      <xdr:nvCxnSpPr>
        <xdr:cNvPr id="61" name="PTObj_DBranchHLine_1_14">
          <a:extLst>
            <a:ext uri="{FF2B5EF4-FFF2-40B4-BE49-F238E27FC236}">
              <a16:creationId xmlns:a16="http://schemas.microsoft.com/office/drawing/2014/main" id="{5E7DB176-9A68-1D64-CC30-0790C9E22975}"/>
            </a:ext>
          </a:extLst>
        </xdr:cNvPr>
        <xdr:cNvCxnSpPr/>
      </xdr:nvCxnSpPr>
      <xdr:spPr>
        <a:xfrm>
          <a:off x="12749022" y="49669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26</xdr:row>
      <xdr:rowOff>179070</xdr:rowOff>
    </xdr:from>
    <xdr:to>
      <xdr:col>7</xdr:col>
      <xdr:colOff>239522</xdr:colOff>
      <xdr:row>30</xdr:row>
      <xdr:rowOff>173990</xdr:rowOff>
    </xdr:to>
    <xdr:cxnSp macro="_xll.PtreeEvent_ObjectClick">
      <xdr:nvCxnSpPr>
        <xdr:cNvPr id="60" name="PTObj_DBranchDLine_1_14">
          <a:extLst>
            <a:ext uri="{FF2B5EF4-FFF2-40B4-BE49-F238E27FC236}">
              <a16:creationId xmlns:a16="http://schemas.microsoft.com/office/drawing/2014/main" id="{89896D44-FB05-FDBB-7C6D-94196BB80DD4}"/>
            </a:ext>
          </a:extLst>
        </xdr:cNvPr>
        <xdr:cNvCxnSpPr/>
      </xdr:nvCxnSpPr>
      <xdr:spPr>
        <a:xfrm flipV="1">
          <a:off x="12596622" y="496697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30</xdr:row>
      <xdr:rowOff>179070</xdr:rowOff>
    </xdr:from>
    <xdr:to>
      <xdr:col>7</xdr:col>
      <xdr:colOff>127</xdr:colOff>
      <xdr:row>30</xdr:row>
      <xdr:rowOff>179070</xdr:rowOff>
    </xdr:to>
    <xdr:cxnSp macro="_xll.PtreeEvent_ObjectClick">
      <xdr:nvCxnSpPr>
        <xdr:cNvPr id="57" name="PTObj_DBranchHLine_1_13">
          <a:extLst>
            <a:ext uri="{FF2B5EF4-FFF2-40B4-BE49-F238E27FC236}">
              <a16:creationId xmlns:a16="http://schemas.microsoft.com/office/drawing/2014/main" id="{976F47BB-0EBD-E375-ACB4-0E39EF4994D0}"/>
            </a:ext>
          </a:extLst>
        </xdr:cNvPr>
        <xdr:cNvCxnSpPr/>
      </xdr:nvCxnSpPr>
      <xdr:spPr>
        <a:xfrm>
          <a:off x="11142472" y="57035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22</xdr:row>
      <xdr:rowOff>173990</xdr:rowOff>
    </xdr:from>
    <xdr:to>
      <xdr:col>6</xdr:col>
      <xdr:colOff>239522</xdr:colOff>
      <xdr:row>30</xdr:row>
      <xdr:rowOff>179070</xdr:rowOff>
    </xdr:to>
    <xdr:cxnSp macro="_xll.PtreeEvent_ObjectClick">
      <xdr:nvCxnSpPr>
        <xdr:cNvPr id="56" name="PTObj_DBranchDLine_1_13">
          <a:extLst>
            <a:ext uri="{FF2B5EF4-FFF2-40B4-BE49-F238E27FC236}">
              <a16:creationId xmlns:a16="http://schemas.microsoft.com/office/drawing/2014/main" id="{E510BA7A-1FFB-2B25-A678-2ABA7ECBCC8F}"/>
            </a:ext>
          </a:extLst>
        </xdr:cNvPr>
        <xdr:cNvCxnSpPr/>
      </xdr:nvCxnSpPr>
      <xdr:spPr>
        <a:xfrm>
          <a:off x="10990072" y="4225290"/>
          <a:ext cx="152400" cy="14782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20</xdr:row>
      <xdr:rowOff>179070</xdr:rowOff>
    </xdr:from>
    <xdr:to>
      <xdr:col>9</xdr:col>
      <xdr:colOff>127</xdr:colOff>
      <xdr:row>20</xdr:row>
      <xdr:rowOff>179070</xdr:rowOff>
    </xdr:to>
    <xdr:cxnSp macro="_xll.PtreeEvent_ObjectClick">
      <xdr:nvCxnSpPr>
        <xdr:cNvPr id="53" name="PTObj_DBranchHLine_1_12">
          <a:extLst>
            <a:ext uri="{FF2B5EF4-FFF2-40B4-BE49-F238E27FC236}">
              <a16:creationId xmlns:a16="http://schemas.microsoft.com/office/drawing/2014/main" id="{AFFB18D7-D0C4-85C1-830A-9031F216FD06}"/>
            </a:ext>
          </a:extLst>
        </xdr:cNvPr>
        <xdr:cNvCxnSpPr/>
      </xdr:nvCxnSpPr>
      <xdr:spPr>
        <a:xfrm>
          <a:off x="14438122" y="38620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18</xdr:row>
      <xdr:rowOff>173990</xdr:rowOff>
    </xdr:from>
    <xdr:to>
      <xdr:col>8</xdr:col>
      <xdr:colOff>239522</xdr:colOff>
      <xdr:row>20</xdr:row>
      <xdr:rowOff>179070</xdr:rowOff>
    </xdr:to>
    <xdr:cxnSp macro="_xll.PtreeEvent_ObjectClick">
      <xdr:nvCxnSpPr>
        <xdr:cNvPr id="52" name="PTObj_DBranchDLine_1_12">
          <a:extLst>
            <a:ext uri="{FF2B5EF4-FFF2-40B4-BE49-F238E27FC236}">
              <a16:creationId xmlns:a16="http://schemas.microsoft.com/office/drawing/2014/main" id="{EFA1D0E0-EE6E-EC3A-21BF-F6C823F9C50B}"/>
            </a:ext>
          </a:extLst>
        </xdr:cNvPr>
        <xdr:cNvCxnSpPr/>
      </xdr:nvCxnSpPr>
      <xdr:spPr>
        <a:xfrm>
          <a:off x="14285722" y="34886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16</xdr:row>
      <xdr:rowOff>179070</xdr:rowOff>
    </xdr:from>
    <xdr:to>
      <xdr:col>9</xdr:col>
      <xdr:colOff>127</xdr:colOff>
      <xdr:row>16</xdr:row>
      <xdr:rowOff>179070</xdr:rowOff>
    </xdr:to>
    <xdr:cxnSp macro="_xll.PtreeEvent_ObjectClick">
      <xdr:nvCxnSpPr>
        <xdr:cNvPr id="49" name="PTObj_DBranchHLine_1_11">
          <a:extLst>
            <a:ext uri="{FF2B5EF4-FFF2-40B4-BE49-F238E27FC236}">
              <a16:creationId xmlns:a16="http://schemas.microsoft.com/office/drawing/2014/main" id="{C0E6F075-9B95-C374-4638-9C071A7DD4CA}"/>
            </a:ext>
          </a:extLst>
        </xdr:cNvPr>
        <xdr:cNvCxnSpPr/>
      </xdr:nvCxnSpPr>
      <xdr:spPr>
        <a:xfrm>
          <a:off x="14438122" y="31254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16</xdr:row>
      <xdr:rowOff>179070</xdr:rowOff>
    </xdr:from>
    <xdr:to>
      <xdr:col>8</xdr:col>
      <xdr:colOff>239522</xdr:colOff>
      <xdr:row>18</xdr:row>
      <xdr:rowOff>173990</xdr:rowOff>
    </xdr:to>
    <xdr:cxnSp macro="_xll.PtreeEvent_ObjectClick">
      <xdr:nvCxnSpPr>
        <xdr:cNvPr id="48" name="PTObj_DBranchDLine_1_11">
          <a:extLst>
            <a:ext uri="{FF2B5EF4-FFF2-40B4-BE49-F238E27FC236}">
              <a16:creationId xmlns:a16="http://schemas.microsoft.com/office/drawing/2014/main" id="{0525B8F4-954A-EF84-E264-8CAC7C041DA2}"/>
            </a:ext>
          </a:extLst>
        </xdr:cNvPr>
        <xdr:cNvCxnSpPr/>
      </xdr:nvCxnSpPr>
      <xdr:spPr>
        <a:xfrm flipV="1">
          <a:off x="14285722" y="31254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18</xdr:row>
      <xdr:rowOff>179070</xdr:rowOff>
    </xdr:from>
    <xdr:to>
      <xdr:col>8</xdr:col>
      <xdr:colOff>127</xdr:colOff>
      <xdr:row>18</xdr:row>
      <xdr:rowOff>179070</xdr:rowOff>
    </xdr:to>
    <xdr:cxnSp macro="_xll.PtreeEvent_ObjectClick">
      <xdr:nvCxnSpPr>
        <xdr:cNvPr id="45" name="PTObj_DBranchHLine_1_10">
          <a:extLst>
            <a:ext uri="{FF2B5EF4-FFF2-40B4-BE49-F238E27FC236}">
              <a16:creationId xmlns:a16="http://schemas.microsoft.com/office/drawing/2014/main" id="{633F8989-B2B3-4E0E-3302-412E4FFDC5E6}"/>
            </a:ext>
          </a:extLst>
        </xdr:cNvPr>
        <xdr:cNvCxnSpPr/>
      </xdr:nvCxnSpPr>
      <xdr:spPr>
        <a:xfrm>
          <a:off x="12749022" y="34937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14</xdr:row>
      <xdr:rowOff>173990</xdr:rowOff>
    </xdr:from>
    <xdr:to>
      <xdr:col>7</xdr:col>
      <xdr:colOff>239522</xdr:colOff>
      <xdr:row>18</xdr:row>
      <xdr:rowOff>179070</xdr:rowOff>
    </xdr:to>
    <xdr:cxnSp macro="_xll.PtreeEvent_ObjectClick">
      <xdr:nvCxnSpPr>
        <xdr:cNvPr id="44" name="PTObj_DBranchDLine_1_10">
          <a:extLst>
            <a:ext uri="{FF2B5EF4-FFF2-40B4-BE49-F238E27FC236}">
              <a16:creationId xmlns:a16="http://schemas.microsoft.com/office/drawing/2014/main" id="{1D14A7DC-9D48-06F7-1A97-A845F122CF5B}"/>
            </a:ext>
          </a:extLst>
        </xdr:cNvPr>
        <xdr:cNvCxnSpPr/>
      </xdr:nvCxnSpPr>
      <xdr:spPr>
        <a:xfrm>
          <a:off x="12596622" y="275209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12</xdr:row>
      <xdr:rowOff>179070</xdr:rowOff>
    </xdr:from>
    <xdr:to>
      <xdr:col>9</xdr:col>
      <xdr:colOff>127</xdr:colOff>
      <xdr:row>12</xdr:row>
      <xdr:rowOff>179070</xdr:rowOff>
    </xdr:to>
    <xdr:cxnSp macro="_xll.PtreeEvent_ObjectClick">
      <xdr:nvCxnSpPr>
        <xdr:cNvPr id="41" name="PTObj_DBranchHLine_1_9">
          <a:extLst>
            <a:ext uri="{FF2B5EF4-FFF2-40B4-BE49-F238E27FC236}">
              <a16:creationId xmlns:a16="http://schemas.microsoft.com/office/drawing/2014/main" id="{9927E3E7-6350-4146-80F3-65934065DE4C}"/>
            </a:ext>
          </a:extLst>
        </xdr:cNvPr>
        <xdr:cNvCxnSpPr/>
      </xdr:nvCxnSpPr>
      <xdr:spPr>
        <a:xfrm>
          <a:off x="14438122" y="23888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10</xdr:row>
      <xdr:rowOff>173990</xdr:rowOff>
    </xdr:from>
    <xdr:to>
      <xdr:col>8</xdr:col>
      <xdr:colOff>239522</xdr:colOff>
      <xdr:row>12</xdr:row>
      <xdr:rowOff>179070</xdr:rowOff>
    </xdr:to>
    <xdr:cxnSp macro="_xll.PtreeEvent_ObjectClick">
      <xdr:nvCxnSpPr>
        <xdr:cNvPr id="40" name="PTObj_DBranchDLine_1_9">
          <a:extLst>
            <a:ext uri="{FF2B5EF4-FFF2-40B4-BE49-F238E27FC236}">
              <a16:creationId xmlns:a16="http://schemas.microsoft.com/office/drawing/2014/main" id="{8D03E505-F42C-BA81-2E1D-D5697F0C06CA}"/>
            </a:ext>
          </a:extLst>
        </xdr:cNvPr>
        <xdr:cNvCxnSpPr/>
      </xdr:nvCxnSpPr>
      <xdr:spPr>
        <a:xfrm>
          <a:off x="14285722" y="20154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8</xdr:row>
      <xdr:rowOff>179070</xdr:rowOff>
    </xdr:from>
    <xdr:to>
      <xdr:col>9</xdr:col>
      <xdr:colOff>127</xdr:colOff>
      <xdr:row>8</xdr:row>
      <xdr:rowOff>179070</xdr:rowOff>
    </xdr:to>
    <xdr:cxnSp macro="_xll.PtreeEvent_ObjectClick">
      <xdr:nvCxnSpPr>
        <xdr:cNvPr id="37" name="PTObj_DBranchHLine_1_8">
          <a:extLst>
            <a:ext uri="{FF2B5EF4-FFF2-40B4-BE49-F238E27FC236}">
              <a16:creationId xmlns:a16="http://schemas.microsoft.com/office/drawing/2014/main" id="{A44B9B53-44E1-EDA2-314E-5A0C574CF4AA}"/>
            </a:ext>
          </a:extLst>
        </xdr:cNvPr>
        <xdr:cNvCxnSpPr/>
      </xdr:nvCxnSpPr>
      <xdr:spPr>
        <a:xfrm>
          <a:off x="14438122" y="1652270"/>
          <a:ext cx="1487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8</xdr:row>
      <xdr:rowOff>179070</xdr:rowOff>
    </xdr:from>
    <xdr:to>
      <xdr:col>8</xdr:col>
      <xdr:colOff>239522</xdr:colOff>
      <xdr:row>10</xdr:row>
      <xdr:rowOff>173990</xdr:rowOff>
    </xdr:to>
    <xdr:cxnSp macro="_xll.PtreeEvent_ObjectClick">
      <xdr:nvCxnSpPr>
        <xdr:cNvPr id="36" name="PTObj_DBranchDLine_1_8">
          <a:extLst>
            <a:ext uri="{FF2B5EF4-FFF2-40B4-BE49-F238E27FC236}">
              <a16:creationId xmlns:a16="http://schemas.microsoft.com/office/drawing/2014/main" id="{444CFD1B-6E11-28F8-8DEA-207475C84A0F}"/>
            </a:ext>
          </a:extLst>
        </xdr:cNvPr>
        <xdr:cNvCxnSpPr/>
      </xdr:nvCxnSpPr>
      <xdr:spPr>
        <a:xfrm flipV="1">
          <a:off x="14285722" y="16522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10</xdr:row>
      <xdr:rowOff>179070</xdr:rowOff>
    </xdr:from>
    <xdr:to>
      <xdr:col>8</xdr:col>
      <xdr:colOff>127</xdr:colOff>
      <xdr:row>10</xdr:row>
      <xdr:rowOff>179070</xdr:rowOff>
    </xdr:to>
    <xdr:cxnSp macro="_xll.PtreeEvent_ObjectClick">
      <xdr:nvCxnSpPr>
        <xdr:cNvPr id="33" name="PTObj_DBranchHLine_1_7">
          <a:extLst>
            <a:ext uri="{FF2B5EF4-FFF2-40B4-BE49-F238E27FC236}">
              <a16:creationId xmlns:a16="http://schemas.microsoft.com/office/drawing/2014/main" id="{F549A406-5D68-4281-8EF0-CB370F670253}"/>
            </a:ext>
          </a:extLst>
        </xdr:cNvPr>
        <xdr:cNvCxnSpPr/>
      </xdr:nvCxnSpPr>
      <xdr:spPr>
        <a:xfrm>
          <a:off x="12749022" y="2020570"/>
          <a:ext cx="1449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10</xdr:row>
      <xdr:rowOff>179070</xdr:rowOff>
    </xdr:from>
    <xdr:to>
      <xdr:col>7</xdr:col>
      <xdr:colOff>239522</xdr:colOff>
      <xdr:row>14</xdr:row>
      <xdr:rowOff>173990</xdr:rowOff>
    </xdr:to>
    <xdr:cxnSp macro="_xll.PtreeEvent_ObjectClick">
      <xdr:nvCxnSpPr>
        <xdr:cNvPr id="32" name="PTObj_DBranchDLine_1_7">
          <a:extLst>
            <a:ext uri="{FF2B5EF4-FFF2-40B4-BE49-F238E27FC236}">
              <a16:creationId xmlns:a16="http://schemas.microsoft.com/office/drawing/2014/main" id="{9524F72A-D9C5-BF84-0DE5-59E927395522}"/>
            </a:ext>
          </a:extLst>
        </xdr:cNvPr>
        <xdr:cNvCxnSpPr/>
      </xdr:nvCxnSpPr>
      <xdr:spPr>
        <a:xfrm flipV="1">
          <a:off x="12596622" y="202057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14</xdr:row>
      <xdr:rowOff>179070</xdr:rowOff>
    </xdr:from>
    <xdr:to>
      <xdr:col>7</xdr:col>
      <xdr:colOff>127</xdr:colOff>
      <xdr:row>14</xdr:row>
      <xdr:rowOff>179070</xdr:rowOff>
    </xdr:to>
    <xdr:cxnSp macro="_xll.PtreeEvent_ObjectClick">
      <xdr:nvCxnSpPr>
        <xdr:cNvPr id="29" name="PTObj_DBranchHLine_1_6">
          <a:extLst>
            <a:ext uri="{FF2B5EF4-FFF2-40B4-BE49-F238E27FC236}">
              <a16:creationId xmlns:a16="http://schemas.microsoft.com/office/drawing/2014/main" id="{6DAD3F38-5904-57F5-11B0-93B2DA73F373}"/>
            </a:ext>
          </a:extLst>
        </xdr:cNvPr>
        <xdr:cNvCxnSpPr/>
      </xdr:nvCxnSpPr>
      <xdr:spPr>
        <a:xfrm>
          <a:off x="11142472" y="27571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14</xdr:row>
      <xdr:rowOff>179070</xdr:rowOff>
    </xdr:from>
    <xdr:to>
      <xdr:col>6</xdr:col>
      <xdr:colOff>239522</xdr:colOff>
      <xdr:row>22</xdr:row>
      <xdr:rowOff>173990</xdr:rowOff>
    </xdr:to>
    <xdr:cxnSp macro="_xll.PtreeEvent_ObjectClick">
      <xdr:nvCxnSpPr>
        <xdr:cNvPr id="28" name="PTObj_DBranchDLine_1_6">
          <a:extLst>
            <a:ext uri="{FF2B5EF4-FFF2-40B4-BE49-F238E27FC236}">
              <a16:creationId xmlns:a16="http://schemas.microsoft.com/office/drawing/2014/main" id="{0737F740-76F2-A602-1A1D-354328E7233C}"/>
            </a:ext>
          </a:extLst>
        </xdr:cNvPr>
        <xdr:cNvCxnSpPr/>
      </xdr:nvCxnSpPr>
      <xdr:spPr>
        <a:xfrm flipV="1">
          <a:off x="10990072" y="275717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22</xdr:row>
      <xdr:rowOff>179070</xdr:rowOff>
    </xdr:from>
    <xdr:to>
      <xdr:col>6</xdr:col>
      <xdr:colOff>127</xdr:colOff>
      <xdr:row>22</xdr:row>
      <xdr:rowOff>179070</xdr:rowOff>
    </xdr:to>
    <xdr:cxnSp macro="_xll.PtreeEvent_ObjectClick">
      <xdr:nvCxnSpPr>
        <xdr:cNvPr id="25" name="PTObj_DBranchHLine_1_5">
          <a:extLst>
            <a:ext uri="{FF2B5EF4-FFF2-40B4-BE49-F238E27FC236}">
              <a16:creationId xmlns:a16="http://schemas.microsoft.com/office/drawing/2014/main" id="{C4C418A5-AF5C-B5F0-5AA5-4E42DCF84D7A}"/>
            </a:ext>
          </a:extLst>
        </xdr:cNvPr>
        <xdr:cNvCxnSpPr/>
      </xdr:nvCxnSpPr>
      <xdr:spPr>
        <a:xfrm>
          <a:off x="8856472" y="4230370"/>
          <a:ext cx="2046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22</xdr:row>
      <xdr:rowOff>179070</xdr:rowOff>
    </xdr:from>
    <xdr:to>
      <xdr:col>5</xdr:col>
      <xdr:colOff>239522</xdr:colOff>
      <xdr:row>38</xdr:row>
      <xdr:rowOff>173989</xdr:rowOff>
    </xdr:to>
    <xdr:cxnSp macro="_xll.PtreeEvent_ObjectClick">
      <xdr:nvCxnSpPr>
        <xdr:cNvPr id="24" name="PTObj_DBranchDLine_1_5">
          <a:extLst>
            <a:ext uri="{FF2B5EF4-FFF2-40B4-BE49-F238E27FC236}">
              <a16:creationId xmlns:a16="http://schemas.microsoft.com/office/drawing/2014/main" id="{6980CBCA-3B3E-F378-EB79-E49351416FC2}"/>
            </a:ext>
          </a:extLst>
        </xdr:cNvPr>
        <xdr:cNvCxnSpPr/>
      </xdr:nvCxnSpPr>
      <xdr:spPr>
        <a:xfrm flipV="1">
          <a:off x="8704072" y="4230370"/>
          <a:ext cx="152400" cy="29413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38</xdr:row>
      <xdr:rowOff>179070</xdr:rowOff>
    </xdr:from>
    <xdr:to>
      <xdr:col>5</xdr:col>
      <xdr:colOff>127</xdr:colOff>
      <xdr:row>38</xdr:row>
      <xdr:rowOff>179070</xdr:rowOff>
    </xdr:to>
    <xdr:cxnSp macro="_xll.PtreeEvent_ObjectClick">
      <xdr:nvCxnSpPr>
        <xdr:cNvPr id="21" name="PTObj_DBranchHLine_1_4">
          <a:extLst>
            <a:ext uri="{FF2B5EF4-FFF2-40B4-BE49-F238E27FC236}">
              <a16:creationId xmlns:a16="http://schemas.microsoft.com/office/drawing/2014/main" id="{01A3FD68-BA72-3EC5-64E3-89B02895DC7A}"/>
            </a:ext>
          </a:extLst>
        </xdr:cNvPr>
        <xdr:cNvCxnSpPr/>
      </xdr:nvCxnSpPr>
      <xdr:spPr>
        <a:xfrm>
          <a:off x="6589522" y="7176770"/>
          <a:ext cx="2027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38</xdr:row>
      <xdr:rowOff>179070</xdr:rowOff>
    </xdr:from>
    <xdr:to>
      <xdr:col>4</xdr:col>
      <xdr:colOff>239522</xdr:colOff>
      <xdr:row>70</xdr:row>
      <xdr:rowOff>173989</xdr:rowOff>
    </xdr:to>
    <xdr:cxnSp macro="_xll.PtreeEvent_ObjectClick">
      <xdr:nvCxnSpPr>
        <xdr:cNvPr id="20" name="PTObj_DBranchDLine_1_4">
          <a:extLst>
            <a:ext uri="{FF2B5EF4-FFF2-40B4-BE49-F238E27FC236}">
              <a16:creationId xmlns:a16="http://schemas.microsoft.com/office/drawing/2014/main" id="{8EA534D3-792D-521E-7B8F-ED99CEA030E5}"/>
            </a:ext>
          </a:extLst>
        </xdr:cNvPr>
        <xdr:cNvCxnSpPr/>
      </xdr:nvCxnSpPr>
      <xdr:spPr>
        <a:xfrm flipV="1">
          <a:off x="6437122" y="7176770"/>
          <a:ext cx="152400" cy="58877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70</xdr:row>
      <xdr:rowOff>179070</xdr:rowOff>
    </xdr:from>
    <xdr:to>
      <xdr:col>4</xdr:col>
      <xdr:colOff>127</xdr:colOff>
      <xdr:row>70</xdr:row>
      <xdr:rowOff>179070</xdr:rowOff>
    </xdr:to>
    <xdr:cxnSp macro="_xll.PtreeEvent_ObjectClick">
      <xdr:nvCxnSpPr>
        <xdr:cNvPr id="17" name="PTObj_DBranchHLine_1_3">
          <a:extLst>
            <a:ext uri="{FF2B5EF4-FFF2-40B4-BE49-F238E27FC236}">
              <a16:creationId xmlns:a16="http://schemas.microsoft.com/office/drawing/2014/main" id="{99B1A3D4-5E1A-EBB5-32CE-DA09D77973D9}"/>
            </a:ext>
          </a:extLst>
        </xdr:cNvPr>
        <xdr:cNvCxnSpPr/>
      </xdr:nvCxnSpPr>
      <xdr:spPr>
        <a:xfrm>
          <a:off x="4157472" y="13069570"/>
          <a:ext cx="219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70</xdr:row>
      <xdr:rowOff>179070</xdr:rowOff>
    </xdr:from>
    <xdr:to>
      <xdr:col>3</xdr:col>
      <xdr:colOff>239522</xdr:colOff>
      <xdr:row>134</xdr:row>
      <xdr:rowOff>173991</xdr:rowOff>
    </xdr:to>
    <xdr:cxnSp macro="_xll.PtreeEvent_ObjectClick">
      <xdr:nvCxnSpPr>
        <xdr:cNvPr id="16" name="PTObj_DBranchDLine_1_3">
          <a:extLst>
            <a:ext uri="{FF2B5EF4-FFF2-40B4-BE49-F238E27FC236}">
              <a16:creationId xmlns:a16="http://schemas.microsoft.com/office/drawing/2014/main" id="{2E591269-509E-9B90-8A5D-5C3B04CF7F9C}"/>
            </a:ext>
          </a:extLst>
        </xdr:cNvPr>
        <xdr:cNvCxnSpPr/>
      </xdr:nvCxnSpPr>
      <xdr:spPr>
        <a:xfrm flipV="1">
          <a:off x="4005072" y="13069570"/>
          <a:ext cx="152400" cy="11780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134</xdr:row>
      <xdr:rowOff>179070</xdr:rowOff>
    </xdr:from>
    <xdr:to>
      <xdr:col>3</xdr:col>
      <xdr:colOff>127</xdr:colOff>
      <xdr:row>134</xdr:row>
      <xdr:rowOff>179070</xdr:rowOff>
    </xdr:to>
    <xdr:cxnSp macro="_xll.PtreeEvent_ObjectClick">
      <xdr:nvCxnSpPr>
        <xdr:cNvPr id="13" name="PTObj_DBranchHLine_1_2">
          <a:extLst>
            <a:ext uri="{FF2B5EF4-FFF2-40B4-BE49-F238E27FC236}">
              <a16:creationId xmlns:a16="http://schemas.microsoft.com/office/drawing/2014/main" id="{09949C6C-F631-CFC0-2DEF-14CA9A5A478B}"/>
            </a:ext>
          </a:extLst>
        </xdr:cNvPr>
        <xdr:cNvCxnSpPr/>
      </xdr:nvCxnSpPr>
      <xdr:spPr>
        <a:xfrm>
          <a:off x="2011172" y="24855170"/>
          <a:ext cx="1906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134</xdr:row>
      <xdr:rowOff>179070</xdr:rowOff>
    </xdr:from>
    <xdr:to>
      <xdr:col>2</xdr:col>
      <xdr:colOff>239522</xdr:colOff>
      <xdr:row>262</xdr:row>
      <xdr:rowOff>173992</xdr:rowOff>
    </xdr:to>
    <xdr:cxnSp macro="_xll.PtreeEvent_ObjectClick">
      <xdr:nvCxnSpPr>
        <xdr:cNvPr id="12" name="PTObj_DBranchDLine_1_2">
          <a:extLst>
            <a:ext uri="{FF2B5EF4-FFF2-40B4-BE49-F238E27FC236}">
              <a16:creationId xmlns:a16="http://schemas.microsoft.com/office/drawing/2014/main" id="{FE1EF9D6-1A6F-0594-6C61-351F18497389}"/>
            </a:ext>
          </a:extLst>
        </xdr:cNvPr>
        <xdr:cNvCxnSpPr/>
      </xdr:nvCxnSpPr>
      <xdr:spPr>
        <a:xfrm flipV="1">
          <a:off x="1858772" y="24855170"/>
          <a:ext cx="152400" cy="2356612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262</xdr:row>
      <xdr:rowOff>179071</xdr:rowOff>
    </xdr:from>
    <xdr:to>
      <xdr:col>2</xdr:col>
      <xdr:colOff>127</xdr:colOff>
      <xdr:row>262</xdr:row>
      <xdr:rowOff>179071</xdr:rowOff>
    </xdr:to>
    <xdr:cxnSp macro="_xll.PtreeEvent_ObjectClick">
      <xdr:nvCxnSpPr>
        <xdr:cNvPr id="9" name="PTObj_DBranchHLine_1_1">
          <a:extLst>
            <a:ext uri="{FF2B5EF4-FFF2-40B4-BE49-F238E27FC236}">
              <a16:creationId xmlns:a16="http://schemas.microsoft.com/office/drawing/2014/main" id="{C490F6FC-38B2-046C-F21E-773C9BF511BA}"/>
            </a:ext>
          </a:extLst>
        </xdr:cNvPr>
        <xdr:cNvCxnSpPr/>
      </xdr:nvCxnSpPr>
      <xdr:spPr>
        <a:xfrm>
          <a:off x="787400" y="48426371"/>
          <a:ext cx="984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262</xdr:row>
      <xdr:rowOff>86996</xdr:rowOff>
    </xdr:from>
    <xdr:to>
      <xdr:col>2</xdr:col>
      <xdr:colOff>184277</xdr:colOff>
      <xdr:row>263</xdr:row>
      <xdr:rowOff>86996</xdr:rowOff>
    </xdr:to>
    <xdr:sp macro="_xll.PtreeEvent_ObjectClick" textlink="">
      <xdr:nvSpPr>
        <xdr:cNvPr id="8" name="PTObj_DNode_1_1">
          <a:extLst>
            <a:ext uri="{FF2B5EF4-FFF2-40B4-BE49-F238E27FC236}">
              <a16:creationId xmlns:a16="http://schemas.microsoft.com/office/drawing/2014/main" id="{4FF44236-AC9A-E0F0-930D-B25870936038}"/>
            </a:ext>
          </a:extLst>
        </xdr:cNvPr>
        <xdr:cNvSpPr/>
      </xdr:nvSpPr>
      <xdr:spPr>
        <a:xfrm>
          <a:off x="1771777" y="483342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215900</xdr:colOff>
      <xdr:row>262</xdr:row>
      <xdr:rowOff>88757</xdr:rowOff>
    </xdr:from>
    <xdr:ext cx="556114" cy="180627"/>
    <xdr:sp macro="_xll.PtreeEvent_ObjectClick" textlink="">
      <xdr:nvSpPr>
        <xdr:cNvPr id="10" name="PTObj_DBranchName_1_1">
          <a:extLst>
            <a:ext uri="{FF2B5EF4-FFF2-40B4-BE49-F238E27FC236}">
              <a16:creationId xmlns:a16="http://schemas.microsoft.com/office/drawing/2014/main" id="{04920109-C283-FCBB-FF84-3FE58B5A3418}"/>
            </a:ext>
          </a:extLst>
        </xdr:cNvPr>
        <xdr:cNvSpPr txBox="1"/>
      </xdr:nvSpPr>
      <xdr:spPr>
        <a:xfrm>
          <a:off x="825500" y="48336057"/>
          <a:ext cx="55611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Solar or Not</a:t>
          </a:r>
        </a:p>
      </xdr:txBody>
    </xdr:sp>
    <xdr:clientData/>
  </xdr:oneCellAnchor>
  <xdr:twoCellAnchor editAs="oneCell">
    <xdr:from>
      <xdr:col>3</xdr:col>
      <xdr:colOff>127</xdr:colOff>
      <xdr:row>134</xdr:row>
      <xdr:rowOff>86995</xdr:rowOff>
    </xdr:from>
    <xdr:to>
      <xdr:col>3</xdr:col>
      <xdr:colOff>184277</xdr:colOff>
      <xdr:row>135</xdr:row>
      <xdr:rowOff>86995</xdr:rowOff>
    </xdr:to>
    <xdr:sp macro="_xll.PtreeEvent_ObjectClick" textlink="">
      <xdr:nvSpPr>
        <xdr:cNvPr id="11" name="PTObj_DNode_1_2">
          <a:extLst>
            <a:ext uri="{FF2B5EF4-FFF2-40B4-BE49-F238E27FC236}">
              <a16:creationId xmlns:a16="http://schemas.microsoft.com/office/drawing/2014/main" id="{C985376D-BD27-0DEC-45A5-588E2C6B6AE1}"/>
            </a:ext>
          </a:extLst>
        </xdr:cNvPr>
        <xdr:cNvSpPr/>
      </xdr:nvSpPr>
      <xdr:spPr>
        <a:xfrm>
          <a:off x="3918077" y="24763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277622</xdr:colOff>
      <xdr:row>134</xdr:row>
      <xdr:rowOff>88756</xdr:rowOff>
    </xdr:from>
    <xdr:ext cx="538737" cy="180627"/>
    <xdr:sp macro="_xll.PtreeEvent_ObjectClick" textlink="">
      <xdr:nvSpPr>
        <xdr:cNvPr id="14" name="PTObj_DBranchName_1_2">
          <a:extLst>
            <a:ext uri="{FF2B5EF4-FFF2-40B4-BE49-F238E27FC236}">
              <a16:creationId xmlns:a16="http://schemas.microsoft.com/office/drawing/2014/main" id="{21C4E709-6C62-7863-D5E3-BBD9B3F150B6}"/>
            </a:ext>
          </a:extLst>
        </xdr:cNvPr>
        <xdr:cNvSpPr txBox="1"/>
      </xdr:nvSpPr>
      <xdr:spPr>
        <a:xfrm>
          <a:off x="2049272" y="24764856"/>
          <a:ext cx="53873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Install Solar</a:t>
          </a:r>
        </a:p>
      </xdr:txBody>
    </xdr:sp>
    <xdr:clientData/>
  </xdr:oneCellAnchor>
  <xdr:twoCellAnchor editAs="oneCell">
    <xdr:from>
      <xdr:col>4</xdr:col>
      <xdr:colOff>127</xdr:colOff>
      <xdr:row>70</xdr:row>
      <xdr:rowOff>86995</xdr:rowOff>
    </xdr:from>
    <xdr:to>
      <xdr:col>4</xdr:col>
      <xdr:colOff>184277</xdr:colOff>
      <xdr:row>71</xdr:row>
      <xdr:rowOff>86995</xdr:rowOff>
    </xdr:to>
    <xdr:sp macro="_xll.PtreeEvent_ObjectClick" textlink="">
      <xdr:nvSpPr>
        <xdr:cNvPr id="15" name="PTObj_DNode_1_3">
          <a:extLst>
            <a:ext uri="{FF2B5EF4-FFF2-40B4-BE49-F238E27FC236}">
              <a16:creationId xmlns:a16="http://schemas.microsoft.com/office/drawing/2014/main" id="{C6EE705B-B109-8FD8-61E7-A8CA6417005E}"/>
            </a:ext>
          </a:extLst>
        </xdr:cNvPr>
        <xdr:cNvSpPr/>
      </xdr:nvSpPr>
      <xdr:spPr>
        <a:xfrm>
          <a:off x="6350127" y="12977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277622</xdr:colOff>
      <xdr:row>70</xdr:row>
      <xdr:rowOff>88757</xdr:rowOff>
    </xdr:from>
    <xdr:ext cx="460895" cy="180627"/>
    <xdr:sp macro="_xll.PtreeEvent_ObjectClick" textlink="">
      <xdr:nvSpPr>
        <xdr:cNvPr id="18" name="PTObj_DBranchName_1_3">
          <a:extLst>
            <a:ext uri="{FF2B5EF4-FFF2-40B4-BE49-F238E27FC236}">
              <a16:creationId xmlns:a16="http://schemas.microsoft.com/office/drawing/2014/main" id="{47D07C64-CBDB-735B-BEF5-AA58940C63B0}"/>
            </a:ext>
          </a:extLst>
        </xdr:cNvPr>
        <xdr:cNvSpPr txBox="1"/>
      </xdr:nvSpPr>
      <xdr:spPr>
        <a:xfrm>
          <a:off x="4195572" y="12979257"/>
          <a:ext cx="4608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Finance It</a:t>
          </a:r>
        </a:p>
      </xdr:txBody>
    </xdr:sp>
    <xdr:clientData/>
  </xdr:oneCellAnchor>
  <xdr:twoCellAnchor editAs="oneCell">
    <xdr:from>
      <xdr:col>5</xdr:col>
      <xdr:colOff>127</xdr:colOff>
      <xdr:row>38</xdr:row>
      <xdr:rowOff>86995</xdr:rowOff>
    </xdr:from>
    <xdr:to>
      <xdr:col>5</xdr:col>
      <xdr:colOff>184277</xdr:colOff>
      <xdr:row>39</xdr:row>
      <xdr:rowOff>86995</xdr:rowOff>
    </xdr:to>
    <xdr:sp macro="_xll.PtreeEvent_ObjectClick" textlink="">
      <xdr:nvSpPr>
        <xdr:cNvPr id="19" name="PTObj_DNode_1_4">
          <a:extLst>
            <a:ext uri="{FF2B5EF4-FFF2-40B4-BE49-F238E27FC236}">
              <a16:creationId xmlns:a16="http://schemas.microsoft.com/office/drawing/2014/main" id="{592CA88C-AD1D-0572-1C97-966CAB26FAA3}"/>
            </a:ext>
          </a:extLst>
        </xdr:cNvPr>
        <xdr:cNvSpPr/>
      </xdr:nvSpPr>
      <xdr:spPr>
        <a:xfrm>
          <a:off x="8617077" y="7084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38</xdr:row>
      <xdr:rowOff>88757</xdr:rowOff>
    </xdr:from>
    <xdr:ext cx="310726" cy="180627"/>
    <xdr:sp macro="_xll.PtreeEvent_ObjectClick" textlink="">
      <xdr:nvSpPr>
        <xdr:cNvPr id="22" name="PTObj_DBranchName_1_4">
          <a:extLst>
            <a:ext uri="{FF2B5EF4-FFF2-40B4-BE49-F238E27FC236}">
              <a16:creationId xmlns:a16="http://schemas.microsoft.com/office/drawing/2014/main" id="{BF94B058-910C-ACA7-60AD-4D3DCD8FFD8D}"/>
            </a:ext>
          </a:extLst>
        </xdr:cNvPr>
        <xdr:cNvSpPr txBox="1"/>
      </xdr:nvSpPr>
      <xdr:spPr>
        <a:xfrm>
          <a:off x="6627622" y="7086457"/>
          <a:ext cx="3107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Sunny</a:t>
          </a:r>
        </a:p>
      </xdr:txBody>
    </xdr:sp>
    <xdr:clientData/>
  </xdr:oneCellAnchor>
  <xdr:twoCellAnchor editAs="oneCell">
    <xdr:from>
      <xdr:col>6</xdr:col>
      <xdr:colOff>127</xdr:colOff>
      <xdr:row>22</xdr:row>
      <xdr:rowOff>86995</xdr:rowOff>
    </xdr:from>
    <xdr:to>
      <xdr:col>6</xdr:col>
      <xdr:colOff>184277</xdr:colOff>
      <xdr:row>23</xdr:row>
      <xdr:rowOff>86995</xdr:rowOff>
    </xdr:to>
    <xdr:sp macro="_xll.PtreeEvent_ObjectClick" textlink="">
      <xdr:nvSpPr>
        <xdr:cNvPr id="23" name="PTObj_DNode_1_5">
          <a:extLst>
            <a:ext uri="{FF2B5EF4-FFF2-40B4-BE49-F238E27FC236}">
              <a16:creationId xmlns:a16="http://schemas.microsoft.com/office/drawing/2014/main" id="{45212877-218B-6A52-0BDC-5F6F81039A53}"/>
            </a:ext>
          </a:extLst>
        </xdr:cNvPr>
        <xdr:cNvSpPr/>
      </xdr:nvSpPr>
      <xdr:spPr>
        <a:xfrm>
          <a:off x="10903077" y="4138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22</xdr:row>
      <xdr:rowOff>88757</xdr:rowOff>
    </xdr:from>
    <xdr:ext cx="826893" cy="180627"/>
    <xdr:sp macro="_xll.PtreeEvent_ObjectClick" textlink="">
      <xdr:nvSpPr>
        <xdr:cNvPr id="26" name="PTObj_DBranchName_1_5">
          <a:extLst>
            <a:ext uri="{FF2B5EF4-FFF2-40B4-BE49-F238E27FC236}">
              <a16:creationId xmlns:a16="http://schemas.microsoft.com/office/drawing/2014/main" id="{E7EF3327-94C7-DA45-036D-95B71536F561}"/>
            </a:ext>
          </a:extLst>
        </xdr:cNvPr>
        <xdr:cNvSpPr txBox="1"/>
      </xdr:nvSpPr>
      <xdr:spPr>
        <a:xfrm>
          <a:off x="8894572" y="4140057"/>
          <a:ext cx="8268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7</xdr:col>
      <xdr:colOff>127</xdr:colOff>
      <xdr:row>14</xdr:row>
      <xdr:rowOff>86995</xdr:rowOff>
    </xdr:from>
    <xdr:to>
      <xdr:col>7</xdr:col>
      <xdr:colOff>184277</xdr:colOff>
      <xdr:row>15</xdr:row>
      <xdr:rowOff>86995</xdr:rowOff>
    </xdr:to>
    <xdr:sp macro="_xll.PtreeEvent_ObjectClick" textlink="">
      <xdr:nvSpPr>
        <xdr:cNvPr id="27" name="PTObj_DNode_1_6">
          <a:extLst>
            <a:ext uri="{FF2B5EF4-FFF2-40B4-BE49-F238E27FC236}">
              <a16:creationId xmlns:a16="http://schemas.microsoft.com/office/drawing/2014/main" id="{0ACA1EEF-08DC-5095-5FF8-38B82E70DE3C}"/>
            </a:ext>
          </a:extLst>
        </xdr:cNvPr>
        <xdr:cNvSpPr/>
      </xdr:nvSpPr>
      <xdr:spPr>
        <a:xfrm>
          <a:off x="12509627" y="2665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14</xdr:row>
      <xdr:rowOff>88757</xdr:rowOff>
    </xdr:from>
    <xdr:ext cx="633763" cy="180627"/>
    <xdr:sp macro="_xll.PtreeEvent_ObjectClick" textlink="">
      <xdr:nvSpPr>
        <xdr:cNvPr id="30" name="PTObj_DBranchName_1_6">
          <a:extLst>
            <a:ext uri="{FF2B5EF4-FFF2-40B4-BE49-F238E27FC236}">
              <a16:creationId xmlns:a16="http://schemas.microsoft.com/office/drawing/2014/main" id="{0FEF0A90-6A5D-F58B-5204-99D6A0260857}"/>
            </a:ext>
          </a:extLst>
        </xdr:cNvPr>
        <xdr:cNvSpPr txBox="1"/>
      </xdr:nvSpPr>
      <xdr:spPr>
        <a:xfrm>
          <a:off x="11180572" y="2666857"/>
          <a:ext cx="6337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Net Meter</a:t>
          </a:r>
        </a:p>
      </xdr:txBody>
    </xdr:sp>
    <xdr:clientData/>
  </xdr:oneCellAnchor>
  <xdr:twoCellAnchor editAs="oneCell">
    <xdr:from>
      <xdr:col>8</xdr:col>
      <xdr:colOff>127</xdr:colOff>
      <xdr:row>10</xdr:row>
      <xdr:rowOff>86995</xdr:rowOff>
    </xdr:from>
    <xdr:to>
      <xdr:col>8</xdr:col>
      <xdr:colOff>184277</xdr:colOff>
      <xdr:row>11</xdr:row>
      <xdr:rowOff>86995</xdr:rowOff>
    </xdr:to>
    <xdr:sp macro="_xll.PtreeEvent_ObjectClick" textlink="">
      <xdr:nvSpPr>
        <xdr:cNvPr id="31" name="PTObj_DNode_1_7">
          <a:extLst>
            <a:ext uri="{FF2B5EF4-FFF2-40B4-BE49-F238E27FC236}">
              <a16:creationId xmlns:a16="http://schemas.microsoft.com/office/drawing/2014/main" id="{CA023CAD-1535-A064-7EBC-F2DE9AC16833}"/>
            </a:ext>
          </a:extLst>
        </xdr:cNvPr>
        <xdr:cNvSpPr/>
      </xdr:nvSpPr>
      <xdr:spPr>
        <a:xfrm>
          <a:off x="14198727" y="1928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10</xdr:row>
      <xdr:rowOff>88757</xdr:rowOff>
    </xdr:from>
    <xdr:ext cx="765531" cy="180627"/>
    <xdr:sp macro="_xll.PtreeEvent_ObjectClick" textlink="">
      <xdr:nvSpPr>
        <xdr:cNvPr id="34" name="PTObj_DBranchName_1_7">
          <a:extLst>
            <a:ext uri="{FF2B5EF4-FFF2-40B4-BE49-F238E27FC236}">
              <a16:creationId xmlns:a16="http://schemas.microsoft.com/office/drawing/2014/main" id="{4494B796-5641-A5A0-E9F5-771510718EFE}"/>
            </a:ext>
          </a:extLst>
        </xdr:cNvPr>
        <xdr:cNvSpPr txBox="1"/>
      </xdr:nvSpPr>
      <xdr:spPr>
        <a:xfrm>
          <a:off x="12787122" y="19302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8</xdr:row>
      <xdr:rowOff>86995</xdr:rowOff>
    </xdr:from>
    <xdr:to>
      <xdr:col>9</xdr:col>
      <xdr:colOff>184277</xdr:colOff>
      <xdr:row>9</xdr:row>
      <xdr:rowOff>86995</xdr:rowOff>
    </xdr:to>
    <xdr:sp macro="_xll.PtreeEvent_ObjectClick" textlink="">
      <xdr:nvSpPr>
        <xdr:cNvPr id="35" name="PTObj_DNode_1_8">
          <a:extLst>
            <a:ext uri="{FF2B5EF4-FFF2-40B4-BE49-F238E27FC236}">
              <a16:creationId xmlns:a16="http://schemas.microsoft.com/office/drawing/2014/main" id="{78B3393D-BC6B-04F0-C58F-D4CEA4F9F0AA}"/>
            </a:ext>
          </a:extLst>
        </xdr:cNvPr>
        <xdr:cNvSpPr/>
      </xdr:nvSpPr>
      <xdr:spPr>
        <a:xfrm rot="-5400000">
          <a:off x="15925927" y="1560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8</xdr:row>
      <xdr:rowOff>88757</xdr:rowOff>
    </xdr:from>
    <xdr:ext cx="819391" cy="180627"/>
    <xdr:sp macro="_xll.PtreeEvent_ObjectClick" textlink="">
      <xdr:nvSpPr>
        <xdr:cNvPr id="38" name="PTObj_DBranchName_1_8">
          <a:extLst>
            <a:ext uri="{FF2B5EF4-FFF2-40B4-BE49-F238E27FC236}">
              <a16:creationId xmlns:a16="http://schemas.microsoft.com/office/drawing/2014/main" id="{AA244CB4-5DFA-8F4A-8D01-54214C83EA67}"/>
            </a:ext>
          </a:extLst>
        </xdr:cNvPr>
        <xdr:cNvSpPr txBox="1"/>
      </xdr:nvSpPr>
      <xdr:spPr>
        <a:xfrm>
          <a:off x="14476222" y="15619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12</xdr:row>
      <xdr:rowOff>86995</xdr:rowOff>
    </xdr:from>
    <xdr:to>
      <xdr:col>9</xdr:col>
      <xdr:colOff>184277</xdr:colOff>
      <xdr:row>13</xdr:row>
      <xdr:rowOff>86995</xdr:rowOff>
    </xdr:to>
    <xdr:sp macro="_xll.PtreeEvent_ObjectClick" textlink="">
      <xdr:nvSpPr>
        <xdr:cNvPr id="39" name="PTObj_DNode_1_9">
          <a:extLst>
            <a:ext uri="{FF2B5EF4-FFF2-40B4-BE49-F238E27FC236}">
              <a16:creationId xmlns:a16="http://schemas.microsoft.com/office/drawing/2014/main" id="{D708C3D3-E5E6-5AE9-D3A8-F602DB26851C}"/>
            </a:ext>
          </a:extLst>
        </xdr:cNvPr>
        <xdr:cNvSpPr/>
      </xdr:nvSpPr>
      <xdr:spPr>
        <a:xfrm rot="-5400000">
          <a:off x="15925927" y="2296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12</xdr:row>
      <xdr:rowOff>88757</xdr:rowOff>
    </xdr:from>
    <xdr:ext cx="800347" cy="180627"/>
    <xdr:sp macro="_xll.PtreeEvent_ObjectClick" textlink="">
      <xdr:nvSpPr>
        <xdr:cNvPr id="42" name="PTObj_DBranchName_1_9">
          <a:extLst>
            <a:ext uri="{FF2B5EF4-FFF2-40B4-BE49-F238E27FC236}">
              <a16:creationId xmlns:a16="http://schemas.microsoft.com/office/drawing/2014/main" id="{F5604A96-FED5-4BA9-8890-BDE3C5912952}"/>
            </a:ext>
          </a:extLst>
        </xdr:cNvPr>
        <xdr:cNvSpPr txBox="1"/>
      </xdr:nvSpPr>
      <xdr:spPr>
        <a:xfrm>
          <a:off x="14476222" y="2298557"/>
          <a:ext cx="8003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18</xdr:row>
      <xdr:rowOff>86995</xdr:rowOff>
    </xdr:from>
    <xdr:to>
      <xdr:col>8</xdr:col>
      <xdr:colOff>184277</xdr:colOff>
      <xdr:row>19</xdr:row>
      <xdr:rowOff>86995</xdr:rowOff>
    </xdr:to>
    <xdr:sp macro="_xll.PtreeEvent_ObjectClick" textlink="">
      <xdr:nvSpPr>
        <xdr:cNvPr id="43" name="PTObj_DNode_1_10">
          <a:extLst>
            <a:ext uri="{FF2B5EF4-FFF2-40B4-BE49-F238E27FC236}">
              <a16:creationId xmlns:a16="http://schemas.microsoft.com/office/drawing/2014/main" id="{54F7E589-889F-DA76-8C0E-119AC8FBCCD1}"/>
            </a:ext>
          </a:extLst>
        </xdr:cNvPr>
        <xdr:cNvSpPr/>
      </xdr:nvSpPr>
      <xdr:spPr>
        <a:xfrm>
          <a:off x="14198727" y="3401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18</xdr:row>
      <xdr:rowOff>88757</xdr:rowOff>
    </xdr:from>
    <xdr:ext cx="784574" cy="180627"/>
    <xdr:sp macro="_xll.PtreeEvent_ObjectClick" textlink="">
      <xdr:nvSpPr>
        <xdr:cNvPr id="46" name="PTObj_DBranchName_1_10">
          <a:extLst>
            <a:ext uri="{FF2B5EF4-FFF2-40B4-BE49-F238E27FC236}">
              <a16:creationId xmlns:a16="http://schemas.microsoft.com/office/drawing/2014/main" id="{03BD8D8F-35AA-FC27-C41A-921E2592D084}"/>
            </a:ext>
          </a:extLst>
        </xdr:cNvPr>
        <xdr:cNvSpPr txBox="1"/>
      </xdr:nvSpPr>
      <xdr:spPr>
        <a:xfrm>
          <a:off x="12787122" y="34034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16</xdr:row>
      <xdr:rowOff>86995</xdr:rowOff>
    </xdr:from>
    <xdr:to>
      <xdr:col>9</xdr:col>
      <xdr:colOff>184277</xdr:colOff>
      <xdr:row>17</xdr:row>
      <xdr:rowOff>86995</xdr:rowOff>
    </xdr:to>
    <xdr:sp macro="_xll.PtreeEvent_ObjectClick" textlink="">
      <xdr:nvSpPr>
        <xdr:cNvPr id="47" name="PTObj_DNode_1_11">
          <a:extLst>
            <a:ext uri="{FF2B5EF4-FFF2-40B4-BE49-F238E27FC236}">
              <a16:creationId xmlns:a16="http://schemas.microsoft.com/office/drawing/2014/main" id="{C9D068B6-C2D0-68BE-06DD-4BC4EBD90145}"/>
            </a:ext>
          </a:extLst>
        </xdr:cNvPr>
        <xdr:cNvSpPr/>
      </xdr:nvSpPr>
      <xdr:spPr>
        <a:xfrm rot="-5400000">
          <a:off x="15925927" y="3033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16</xdr:row>
      <xdr:rowOff>88757</xdr:rowOff>
    </xdr:from>
    <xdr:ext cx="819391" cy="180627"/>
    <xdr:sp macro="_xll.PtreeEvent_ObjectClick" textlink="">
      <xdr:nvSpPr>
        <xdr:cNvPr id="50" name="PTObj_DBranchName_1_11">
          <a:extLst>
            <a:ext uri="{FF2B5EF4-FFF2-40B4-BE49-F238E27FC236}">
              <a16:creationId xmlns:a16="http://schemas.microsoft.com/office/drawing/2014/main" id="{97709F74-BBBA-B14F-8027-0D637CE6C6BE}"/>
            </a:ext>
          </a:extLst>
        </xdr:cNvPr>
        <xdr:cNvSpPr txBox="1"/>
      </xdr:nvSpPr>
      <xdr:spPr>
        <a:xfrm>
          <a:off x="14476222" y="30351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20</xdr:row>
      <xdr:rowOff>86995</xdr:rowOff>
    </xdr:from>
    <xdr:to>
      <xdr:col>9</xdr:col>
      <xdr:colOff>184277</xdr:colOff>
      <xdr:row>21</xdr:row>
      <xdr:rowOff>86995</xdr:rowOff>
    </xdr:to>
    <xdr:sp macro="_xll.PtreeEvent_ObjectClick" textlink="">
      <xdr:nvSpPr>
        <xdr:cNvPr id="51" name="PTObj_DNode_1_12">
          <a:extLst>
            <a:ext uri="{FF2B5EF4-FFF2-40B4-BE49-F238E27FC236}">
              <a16:creationId xmlns:a16="http://schemas.microsoft.com/office/drawing/2014/main" id="{999D9D65-F1A9-4DEC-1A3F-8A7A92050AA2}"/>
            </a:ext>
          </a:extLst>
        </xdr:cNvPr>
        <xdr:cNvSpPr/>
      </xdr:nvSpPr>
      <xdr:spPr>
        <a:xfrm rot="-5400000">
          <a:off x="15925927" y="3769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20</xdr:row>
      <xdr:rowOff>88757</xdr:rowOff>
    </xdr:from>
    <xdr:ext cx="800347" cy="180627"/>
    <xdr:sp macro="_xll.PtreeEvent_ObjectClick" textlink="">
      <xdr:nvSpPr>
        <xdr:cNvPr id="54" name="PTObj_DBranchName_1_12">
          <a:extLst>
            <a:ext uri="{FF2B5EF4-FFF2-40B4-BE49-F238E27FC236}">
              <a16:creationId xmlns:a16="http://schemas.microsoft.com/office/drawing/2014/main" id="{D80766DC-0536-8F31-980E-AA27BC2C9A6B}"/>
            </a:ext>
          </a:extLst>
        </xdr:cNvPr>
        <xdr:cNvSpPr txBox="1"/>
      </xdr:nvSpPr>
      <xdr:spPr>
        <a:xfrm>
          <a:off x="14476222" y="3771757"/>
          <a:ext cx="8003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30</xdr:row>
      <xdr:rowOff>86995</xdr:rowOff>
    </xdr:from>
    <xdr:to>
      <xdr:col>7</xdr:col>
      <xdr:colOff>184277</xdr:colOff>
      <xdr:row>31</xdr:row>
      <xdr:rowOff>86995</xdr:rowOff>
    </xdr:to>
    <xdr:sp macro="_xll.PtreeEvent_ObjectClick" textlink="">
      <xdr:nvSpPr>
        <xdr:cNvPr id="55" name="PTObj_DNode_1_13">
          <a:extLst>
            <a:ext uri="{FF2B5EF4-FFF2-40B4-BE49-F238E27FC236}">
              <a16:creationId xmlns:a16="http://schemas.microsoft.com/office/drawing/2014/main" id="{DDC14E0F-7F03-41CE-01B0-A68CA06C4F99}"/>
            </a:ext>
          </a:extLst>
        </xdr:cNvPr>
        <xdr:cNvSpPr/>
      </xdr:nvSpPr>
      <xdr:spPr>
        <a:xfrm>
          <a:off x="12509627" y="5611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30</xdr:row>
      <xdr:rowOff>88757</xdr:rowOff>
    </xdr:from>
    <xdr:ext cx="490198" cy="180627"/>
    <xdr:sp macro="_xll.PtreeEvent_ObjectClick" textlink="">
      <xdr:nvSpPr>
        <xdr:cNvPr id="58" name="PTObj_DBranchName_1_13">
          <a:extLst>
            <a:ext uri="{FF2B5EF4-FFF2-40B4-BE49-F238E27FC236}">
              <a16:creationId xmlns:a16="http://schemas.microsoft.com/office/drawing/2014/main" id="{D755215F-C979-9202-3AF0-137B09E8AA19}"/>
            </a:ext>
          </a:extLst>
        </xdr:cNvPr>
        <xdr:cNvSpPr txBox="1"/>
      </xdr:nvSpPr>
      <xdr:spPr>
        <a:xfrm>
          <a:off x="11180572" y="5613257"/>
          <a:ext cx="4901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Net Meter</a:t>
          </a:r>
        </a:p>
      </xdr:txBody>
    </xdr:sp>
    <xdr:clientData/>
  </xdr:oneCellAnchor>
  <xdr:twoCellAnchor editAs="oneCell">
    <xdr:from>
      <xdr:col>8</xdr:col>
      <xdr:colOff>127</xdr:colOff>
      <xdr:row>26</xdr:row>
      <xdr:rowOff>86995</xdr:rowOff>
    </xdr:from>
    <xdr:to>
      <xdr:col>8</xdr:col>
      <xdr:colOff>184277</xdr:colOff>
      <xdr:row>27</xdr:row>
      <xdr:rowOff>86995</xdr:rowOff>
    </xdr:to>
    <xdr:sp macro="_xll.PtreeEvent_ObjectClick" textlink="">
      <xdr:nvSpPr>
        <xdr:cNvPr id="59" name="PTObj_DNode_1_14">
          <a:extLst>
            <a:ext uri="{FF2B5EF4-FFF2-40B4-BE49-F238E27FC236}">
              <a16:creationId xmlns:a16="http://schemas.microsoft.com/office/drawing/2014/main" id="{FAA57DFF-7F2F-37B1-2ACD-1F200CDAFF92}"/>
            </a:ext>
          </a:extLst>
        </xdr:cNvPr>
        <xdr:cNvSpPr/>
      </xdr:nvSpPr>
      <xdr:spPr>
        <a:xfrm>
          <a:off x="14198727" y="4874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26</xdr:row>
      <xdr:rowOff>88757</xdr:rowOff>
    </xdr:from>
    <xdr:ext cx="765531" cy="180627"/>
    <xdr:sp macro="_xll.PtreeEvent_ObjectClick" textlink="">
      <xdr:nvSpPr>
        <xdr:cNvPr id="62" name="PTObj_DBranchName_1_14">
          <a:extLst>
            <a:ext uri="{FF2B5EF4-FFF2-40B4-BE49-F238E27FC236}">
              <a16:creationId xmlns:a16="http://schemas.microsoft.com/office/drawing/2014/main" id="{B76D3044-0D32-5AA8-3762-F97D0EABCE9E}"/>
            </a:ext>
          </a:extLst>
        </xdr:cNvPr>
        <xdr:cNvSpPr txBox="1"/>
      </xdr:nvSpPr>
      <xdr:spPr>
        <a:xfrm>
          <a:off x="12787122" y="48766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24</xdr:row>
      <xdr:rowOff>86995</xdr:rowOff>
    </xdr:from>
    <xdr:to>
      <xdr:col>9</xdr:col>
      <xdr:colOff>184277</xdr:colOff>
      <xdr:row>25</xdr:row>
      <xdr:rowOff>86995</xdr:rowOff>
    </xdr:to>
    <xdr:sp macro="_xll.PtreeEvent_ObjectClick" textlink="">
      <xdr:nvSpPr>
        <xdr:cNvPr id="63" name="PTObj_DNode_1_15">
          <a:extLst>
            <a:ext uri="{FF2B5EF4-FFF2-40B4-BE49-F238E27FC236}">
              <a16:creationId xmlns:a16="http://schemas.microsoft.com/office/drawing/2014/main" id="{2D23D496-07E6-0E7B-658F-F31BD59B5DC3}"/>
            </a:ext>
          </a:extLst>
        </xdr:cNvPr>
        <xdr:cNvSpPr/>
      </xdr:nvSpPr>
      <xdr:spPr>
        <a:xfrm rot="-5400000">
          <a:off x="15925927" y="4506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24</xdr:row>
      <xdr:rowOff>88757</xdr:rowOff>
    </xdr:from>
    <xdr:ext cx="819391" cy="180627"/>
    <xdr:sp macro="_xll.PtreeEvent_ObjectClick" textlink="">
      <xdr:nvSpPr>
        <xdr:cNvPr id="66" name="PTObj_DBranchName_1_15">
          <a:extLst>
            <a:ext uri="{FF2B5EF4-FFF2-40B4-BE49-F238E27FC236}">
              <a16:creationId xmlns:a16="http://schemas.microsoft.com/office/drawing/2014/main" id="{60CDB097-EA18-7F09-643A-17724DB415E9}"/>
            </a:ext>
          </a:extLst>
        </xdr:cNvPr>
        <xdr:cNvSpPr txBox="1"/>
      </xdr:nvSpPr>
      <xdr:spPr>
        <a:xfrm>
          <a:off x="14476222" y="45083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28</xdr:row>
      <xdr:rowOff>86995</xdr:rowOff>
    </xdr:from>
    <xdr:to>
      <xdr:col>9</xdr:col>
      <xdr:colOff>184277</xdr:colOff>
      <xdr:row>29</xdr:row>
      <xdr:rowOff>86995</xdr:rowOff>
    </xdr:to>
    <xdr:sp macro="_xll.PtreeEvent_ObjectClick" textlink="">
      <xdr:nvSpPr>
        <xdr:cNvPr id="67" name="PTObj_DNode_1_16">
          <a:extLst>
            <a:ext uri="{FF2B5EF4-FFF2-40B4-BE49-F238E27FC236}">
              <a16:creationId xmlns:a16="http://schemas.microsoft.com/office/drawing/2014/main" id="{D8128757-FD0D-2360-271F-251B56DD08F5}"/>
            </a:ext>
          </a:extLst>
        </xdr:cNvPr>
        <xdr:cNvSpPr/>
      </xdr:nvSpPr>
      <xdr:spPr>
        <a:xfrm rot="-5400000">
          <a:off x="15925927" y="5243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28</xdr:row>
      <xdr:rowOff>88757</xdr:rowOff>
    </xdr:from>
    <xdr:ext cx="774956" cy="180627"/>
    <xdr:sp macro="_xll.PtreeEvent_ObjectClick" textlink="">
      <xdr:nvSpPr>
        <xdr:cNvPr id="70" name="PTObj_DBranchName_1_16">
          <a:extLst>
            <a:ext uri="{FF2B5EF4-FFF2-40B4-BE49-F238E27FC236}">
              <a16:creationId xmlns:a16="http://schemas.microsoft.com/office/drawing/2014/main" id="{E1E9A326-87BE-6426-B47C-393FD4B92D04}"/>
            </a:ext>
          </a:extLst>
        </xdr:cNvPr>
        <xdr:cNvSpPr txBox="1"/>
      </xdr:nvSpPr>
      <xdr:spPr>
        <a:xfrm>
          <a:off x="14476222" y="52449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34</xdr:row>
      <xdr:rowOff>86995</xdr:rowOff>
    </xdr:from>
    <xdr:to>
      <xdr:col>8</xdr:col>
      <xdr:colOff>184277</xdr:colOff>
      <xdr:row>35</xdr:row>
      <xdr:rowOff>86995</xdr:rowOff>
    </xdr:to>
    <xdr:sp macro="_xll.PtreeEvent_ObjectClick" textlink="">
      <xdr:nvSpPr>
        <xdr:cNvPr id="71" name="PTObj_DNode_1_17">
          <a:extLst>
            <a:ext uri="{FF2B5EF4-FFF2-40B4-BE49-F238E27FC236}">
              <a16:creationId xmlns:a16="http://schemas.microsoft.com/office/drawing/2014/main" id="{176E7329-A248-9937-812D-DCFB2D3D3C29}"/>
            </a:ext>
          </a:extLst>
        </xdr:cNvPr>
        <xdr:cNvSpPr/>
      </xdr:nvSpPr>
      <xdr:spPr>
        <a:xfrm>
          <a:off x="14198727" y="6348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34</xdr:row>
      <xdr:rowOff>88757</xdr:rowOff>
    </xdr:from>
    <xdr:ext cx="784574" cy="180627"/>
    <xdr:sp macro="_xll.PtreeEvent_ObjectClick" textlink="">
      <xdr:nvSpPr>
        <xdr:cNvPr id="74" name="PTObj_DBranchName_1_17">
          <a:extLst>
            <a:ext uri="{FF2B5EF4-FFF2-40B4-BE49-F238E27FC236}">
              <a16:creationId xmlns:a16="http://schemas.microsoft.com/office/drawing/2014/main" id="{2E5469F8-219E-E895-6BEA-361512A993D4}"/>
            </a:ext>
          </a:extLst>
        </xdr:cNvPr>
        <xdr:cNvSpPr txBox="1"/>
      </xdr:nvSpPr>
      <xdr:spPr>
        <a:xfrm>
          <a:off x="12787122" y="63498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32</xdr:row>
      <xdr:rowOff>86995</xdr:rowOff>
    </xdr:from>
    <xdr:to>
      <xdr:col>9</xdr:col>
      <xdr:colOff>184277</xdr:colOff>
      <xdr:row>33</xdr:row>
      <xdr:rowOff>86995</xdr:rowOff>
    </xdr:to>
    <xdr:sp macro="_xll.PtreeEvent_ObjectClick" textlink="">
      <xdr:nvSpPr>
        <xdr:cNvPr id="75" name="PTObj_DNode_1_18">
          <a:extLst>
            <a:ext uri="{FF2B5EF4-FFF2-40B4-BE49-F238E27FC236}">
              <a16:creationId xmlns:a16="http://schemas.microsoft.com/office/drawing/2014/main" id="{1B974E7F-DB33-17E6-5403-7DF94DB1E253}"/>
            </a:ext>
          </a:extLst>
        </xdr:cNvPr>
        <xdr:cNvSpPr/>
      </xdr:nvSpPr>
      <xdr:spPr>
        <a:xfrm rot="-5400000">
          <a:off x="15925927" y="5979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32</xdr:row>
      <xdr:rowOff>88757</xdr:rowOff>
    </xdr:from>
    <xdr:ext cx="819391" cy="180627"/>
    <xdr:sp macro="_xll.PtreeEvent_ObjectClick" textlink="">
      <xdr:nvSpPr>
        <xdr:cNvPr id="78" name="PTObj_DBranchName_1_18">
          <a:extLst>
            <a:ext uri="{FF2B5EF4-FFF2-40B4-BE49-F238E27FC236}">
              <a16:creationId xmlns:a16="http://schemas.microsoft.com/office/drawing/2014/main" id="{182384C2-2227-95B3-7D4B-CF20EEDAD831}"/>
            </a:ext>
          </a:extLst>
        </xdr:cNvPr>
        <xdr:cNvSpPr txBox="1"/>
      </xdr:nvSpPr>
      <xdr:spPr>
        <a:xfrm>
          <a:off x="14476222" y="59815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36</xdr:row>
      <xdr:rowOff>86995</xdr:rowOff>
    </xdr:from>
    <xdr:to>
      <xdr:col>9</xdr:col>
      <xdr:colOff>184277</xdr:colOff>
      <xdr:row>37</xdr:row>
      <xdr:rowOff>86995</xdr:rowOff>
    </xdr:to>
    <xdr:sp macro="_xll.PtreeEvent_ObjectClick" textlink="">
      <xdr:nvSpPr>
        <xdr:cNvPr id="79" name="PTObj_DNode_1_19">
          <a:extLst>
            <a:ext uri="{FF2B5EF4-FFF2-40B4-BE49-F238E27FC236}">
              <a16:creationId xmlns:a16="http://schemas.microsoft.com/office/drawing/2014/main" id="{6AC8B44A-878B-5906-F236-B88E4633E239}"/>
            </a:ext>
          </a:extLst>
        </xdr:cNvPr>
        <xdr:cNvSpPr/>
      </xdr:nvSpPr>
      <xdr:spPr>
        <a:xfrm rot="-5400000">
          <a:off x="15925927" y="6716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36</xdr:row>
      <xdr:rowOff>88757</xdr:rowOff>
    </xdr:from>
    <xdr:ext cx="774956" cy="180627"/>
    <xdr:sp macro="_xll.PtreeEvent_ObjectClick" textlink="">
      <xdr:nvSpPr>
        <xdr:cNvPr id="82" name="PTObj_DBranchName_1_19">
          <a:extLst>
            <a:ext uri="{FF2B5EF4-FFF2-40B4-BE49-F238E27FC236}">
              <a16:creationId xmlns:a16="http://schemas.microsoft.com/office/drawing/2014/main" id="{02C9C867-16AC-F962-2236-F0C931FC7BBD}"/>
            </a:ext>
          </a:extLst>
        </xdr:cNvPr>
        <xdr:cNvSpPr txBox="1"/>
      </xdr:nvSpPr>
      <xdr:spPr>
        <a:xfrm>
          <a:off x="14476222" y="67181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6</xdr:col>
      <xdr:colOff>127</xdr:colOff>
      <xdr:row>54</xdr:row>
      <xdr:rowOff>86995</xdr:rowOff>
    </xdr:from>
    <xdr:to>
      <xdr:col>6</xdr:col>
      <xdr:colOff>184277</xdr:colOff>
      <xdr:row>55</xdr:row>
      <xdr:rowOff>86995</xdr:rowOff>
    </xdr:to>
    <xdr:sp macro="_xll.PtreeEvent_ObjectClick" textlink="">
      <xdr:nvSpPr>
        <xdr:cNvPr id="83" name="PTObj_DNode_1_20">
          <a:extLst>
            <a:ext uri="{FF2B5EF4-FFF2-40B4-BE49-F238E27FC236}">
              <a16:creationId xmlns:a16="http://schemas.microsoft.com/office/drawing/2014/main" id="{EBCF5658-1C1C-37D0-7C91-4FB7F783EBD0}"/>
            </a:ext>
          </a:extLst>
        </xdr:cNvPr>
        <xdr:cNvSpPr/>
      </xdr:nvSpPr>
      <xdr:spPr>
        <a:xfrm>
          <a:off x="10903077" y="10031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54</xdr:row>
      <xdr:rowOff>88757</xdr:rowOff>
    </xdr:from>
    <xdr:ext cx="776943" cy="180627"/>
    <xdr:sp macro="_xll.PtreeEvent_ObjectClick" textlink="">
      <xdr:nvSpPr>
        <xdr:cNvPr id="86" name="PTObj_DBranchName_1_20">
          <a:extLst>
            <a:ext uri="{FF2B5EF4-FFF2-40B4-BE49-F238E27FC236}">
              <a16:creationId xmlns:a16="http://schemas.microsoft.com/office/drawing/2014/main" id="{44231B71-D92F-C377-C979-5A3C47539367}"/>
            </a:ext>
          </a:extLst>
        </xdr:cNvPr>
        <xdr:cNvSpPr txBox="1"/>
      </xdr:nvSpPr>
      <xdr:spPr>
        <a:xfrm>
          <a:off x="8894572" y="10032857"/>
          <a:ext cx="7769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 editAs="oneCell">
    <xdr:from>
      <xdr:col>7</xdr:col>
      <xdr:colOff>127</xdr:colOff>
      <xdr:row>46</xdr:row>
      <xdr:rowOff>86995</xdr:rowOff>
    </xdr:from>
    <xdr:to>
      <xdr:col>7</xdr:col>
      <xdr:colOff>184277</xdr:colOff>
      <xdr:row>47</xdr:row>
      <xdr:rowOff>86995</xdr:rowOff>
    </xdr:to>
    <xdr:sp macro="_xll.PtreeEvent_ObjectClick" textlink="">
      <xdr:nvSpPr>
        <xdr:cNvPr id="87" name="PTObj_DNode_1_21">
          <a:extLst>
            <a:ext uri="{FF2B5EF4-FFF2-40B4-BE49-F238E27FC236}">
              <a16:creationId xmlns:a16="http://schemas.microsoft.com/office/drawing/2014/main" id="{18E38842-AD51-3D6D-F455-7C50760DF7C7}"/>
            </a:ext>
          </a:extLst>
        </xdr:cNvPr>
        <xdr:cNvSpPr/>
      </xdr:nvSpPr>
      <xdr:spPr>
        <a:xfrm>
          <a:off x="12509627" y="8557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46</xdr:row>
      <xdr:rowOff>88757</xdr:rowOff>
    </xdr:from>
    <xdr:ext cx="363240" cy="180627"/>
    <xdr:sp macro="_xll.PtreeEvent_ObjectClick" textlink="">
      <xdr:nvSpPr>
        <xdr:cNvPr id="90" name="PTObj_DBranchName_1_21">
          <a:extLst>
            <a:ext uri="{FF2B5EF4-FFF2-40B4-BE49-F238E27FC236}">
              <a16:creationId xmlns:a16="http://schemas.microsoft.com/office/drawing/2014/main" id="{3C250B1E-970F-E75B-EA2F-00CD38ED0912}"/>
            </a:ext>
          </a:extLst>
        </xdr:cNvPr>
        <xdr:cNvSpPr txBox="1"/>
      </xdr:nvSpPr>
      <xdr:spPr>
        <a:xfrm>
          <a:off x="11180572" y="8559657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42</xdr:row>
      <xdr:rowOff>86995</xdr:rowOff>
    </xdr:from>
    <xdr:to>
      <xdr:col>8</xdr:col>
      <xdr:colOff>184277</xdr:colOff>
      <xdr:row>43</xdr:row>
      <xdr:rowOff>86995</xdr:rowOff>
    </xdr:to>
    <xdr:sp macro="_xll.PtreeEvent_ObjectClick" textlink="">
      <xdr:nvSpPr>
        <xdr:cNvPr id="91" name="PTObj_DNode_1_22">
          <a:extLst>
            <a:ext uri="{FF2B5EF4-FFF2-40B4-BE49-F238E27FC236}">
              <a16:creationId xmlns:a16="http://schemas.microsoft.com/office/drawing/2014/main" id="{716FFBED-3CDD-ACFB-8043-2654AA44B8DC}"/>
            </a:ext>
          </a:extLst>
        </xdr:cNvPr>
        <xdr:cNvSpPr/>
      </xdr:nvSpPr>
      <xdr:spPr>
        <a:xfrm>
          <a:off x="14198727" y="7821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42</xdr:row>
      <xdr:rowOff>88757</xdr:rowOff>
    </xdr:from>
    <xdr:ext cx="765531" cy="180627"/>
    <xdr:sp macro="_xll.PtreeEvent_ObjectClick" textlink="">
      <xdr:nvSpPr>
        <xdr:cNvPr id="94" name="PTObj_DBranchName_1_22">
          <a:extLst>
            <a:ext uri="{FF2B5EF4-FFF2-40B4-BE49-F238E27FC236}">
              <a16:creationId xmlns:a16="http://schemas.microsoft.com/office/drawing/2014/main" id="{6B1ADF0F-A3D0-D4A3-292A-A78BED6D4744}"/>
            </a:ext>
          </a:extLst>
        </xdr:cNvPr>
        <xdr:cNvSpPr txBox="1"/>
      </xdr:nvSpPr>
      <xdr:spPr>
        <a:xfrm>
          <a:off x="12787122" y="78230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40</xdr:row>
      <xdr:rowOff>86995</xdr:rowOff>
    </xdr:from>
    <xdr:to>
      <xdr:col>9</xdr:col>
      <xdr:colOff>184277</xdr:colOff>
      <xdr:row>41</xdr:row>
      <xdr:rowOff>86995</xdr:rowOff>
    </xdr:to>
    <xdr:sp macro="_xll.PtreeEvent_ObjectClick" textlink="">
      <xdr:nvSpPr>
        <xdr:cNvPr id="95" name="PTObj_DNode_1_23">
          <a:extLst>
            <a:ext uri="{FF2B5EF4-FFF2-40B4-BE49-F238E27FC236}">
              <a16:creationId xmlns:a16="http://schemas.microsoft.com/office/drawing/2014/main" id="{B1E3C38E-89A4-FDEC-EF53-76C07E799C4B}"/>
            </a:ext>
          </a:extLst>
        </xdr:cNvPr>
        <xdr:cNvSpPr/>
      </xdr:nvSpPr>
      <xdr:spPr>
        <a:xfrm rot="-5400000">
          <a:off x="15925927" y="7452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40</xdr:row>
      <xdr:rowOff>88757</xdr:rowOff>
    </xdr:from>
    <xdr:ext cx="819391" cy="180627"/>
    <xdr:sp macro="_xll.PtreeEvent_ObjectClick" textlink="">
      <xdr:nvSpPr>
        <xdr:cNvPr id="98" name="PTObj_DBranchName_1_23">
          <a:extLst>
            <a:ext uri="{FF2B5EF4-FFF2-40B4-BE49-F238E27FC236}">
              <a16:creationId xmlns:a16="http://schemas.microsoft.com/office/drawing/2014/main" id="{079D0B0D-6AAF-8EF4-5EAA-C8A0E414DBC8}"/>
            </a:ext>
          </a:extLst>
        </xdr:cNvPr>
        <xdr:cNvSpPr txBox="1"/>
      </xdr:nvSpPr>
      <xdr:spPr>
        <a:xfrm>
          <a:off x="14476222" y="74547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44</xdr:row>
      <xdr:rowOff>86995</xdr:rowOff>
    </xdr:from>
    <xdr:to>
      <xdr:col>9</xdr:col>
      <xdr:colOff>184277</xdr:colOff>
      <xdr:row>45</xdr:row>
      <xdr:rowOff>86995</xdr:rowOff>
    </xdr:to>
    <xdr:sp macro="_xll.PtreeEvent_ObjectClick" textlink="">
      <xdr:nvSpPr>
        <xdr:cNvPr id="99" name="PTObj_DNode_1_24">
          <a:extLst>
            <a:ext uri="{FF2B5EF4-FFF2-40B4-BE49-F238E27FC236}">
              <a16:creationId xmlns:a16="http://schemas.microsoft.com/office/drawing/2014/main" id="{AC3546D4-BD56-3C2C-7B49-B495AD34C92A}"/>
            </a:ext>
          </a:extLst>
        </xdr:cNvPr>
        <xdr:cNvSpPr/>
      </xdr:nvSpPr>
      <xdr:spPr>
        <a:xfrm rot="-5400000">
          <a:off x="15925927" y="8189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44</xdr:row>
      <xdr:rowOff>88757</xdr:rowOff>
    </xdr:from>
    <xdr:ext cx="774956" cy="180627"/>
    <xdr:sp macro="_xll.PtreeEvent_ObjectClick" textlink="">
      <xdr:nvSpPr>
        <xdr:cNvPr id="102" name="PTObj_DBranchName_1_24">
          <a:extLst>
            <a:ext uri="{FF2B5EF4-FFF2-40B4-BE49-F238E27FC236}">
              <a16:creationId xmlns:a16="http://schemas.microsoft.com/office/drawing/2014/main" id="{079DB86B-2655-5783-16CA-4749700944BB}"/>
            </a:ext>
          </a:extLst>
        </xdr:cNvPr>
        <xdr:cNvSpPr txBox="1"/>
      </xdr:nvSpPr>
      <xdr:spPr>
        <a:xfrm>
          <a:off x="14476222" y="81913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50</xdr:row>
      <xdr:rowOff>86995</xdr:rowOff>
    </xdr:from>
    <xdr:to>
      <xdr:col>8</xdr:col>
      <xdr:colOff>184277</xdr:colOff>
      <xdr:row>51</xdr:row>
      <xdr:rowOff>86995</xdr:rowOff>
    </xdr:to>
    <xdr:sp macro="_xll.PtreeEvent_ObjectClick" textlink="">
      <xdr:nvSpPr>
        <xdr:cNvPr id="103" name="PTObj_DNode_1_25">
          <a:extLst>
            <a:ext uri="{FF2B5EF4-FFF2-40B4-BE49-F238E27FC236}">
              <a16:creationId xmlns:a16="http://schemas.microsoft.com/office/drawing/2014/main" id="{54DB81A9-A835-159E-451C-C8D665D50E9F}"/>
            </a:ext>
          </a:extLst>
        </xdr:cNvPr>
        <xdr:cNvSpPr/>
      </xdr:nvSpPr>
      <xdr:spPr>
        <a:xfrm>
          <a:off x="14198727" y="9294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50</xdr:row>
      <xdr:rowOff>88757</xdr:rowOff>
    </xdr:from>
    <xdr:ext cx="784574" cy="180627"/>
    <xdr:sp macro="_xll.PtreeEvent_ObjectClick" textlink="">
      <xdr:nvSpPr>
        <xdr:cNvPr id="106" name="PTObj_DBranchName_1_25">
          <a:extLst>
            <a:ext uri="{FF2B5EF4-FFF2-40B4-BE49-F238E27FC236}">
              <a16:creationId xmlns:a16="http://schemas.microsoft.com/office/drawing/2014/main" id="{21F9187C-7DBE-9740-4C65-E7F796841E40}"/>
            </a:ext>
          </a:extLst>
        </xdr:cNvPr>
        <xdr:cNvSpPr txBox="1"/>
      </xdr:nvSpPr>
      <xdr:spPr>
        <a:xfrm>
          <a:off x="12787122" y="92962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48</xdr:row>
      <xdr:rowOff>86995</xdr:rowOff>
    </xdr:from>
    <xdr:to>
      <xdr:col>9</xdr:col>
      <xdr:colOff>184277</xdr:colOff>
      <xdr:row>49</xdr:row>
      <xdr:rowOff>86995</xdr:rowOff>
    </xdr:to>
    <xdr:sp macro="_xll.PtreeEvent_ObjectClick" textlink="">
      <xdr:nvSpPr>
        <xdr:cNvPr id="107" name="PTObj_DNode_1_26">
          <a:extLst>
            <a:ext uri="{FF2B5EF4-FFF2-40B4-BE49-F238E27FC236}">
              <a16:creationId xmlns:a16="http://schemas.microsoft.com/office/drawing/2014/main" id="{D0F89810-8437-221B-CA12-732FD1E3F687}"/>
            </a:ext>
          </a:extLst>
        </xdr:cNvPr>
        <xdr:cNvSpPr/>
      </xdr:nvSpPr>
      <xdr:spPr>
        <a:xfrm rot="-5400000">
          <a:off x="15925927" y="8926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48</xdr:row>
      <xdr:rowOff>88757</xdr:rowOff>
    </xdr:from>
    <xdr:ext cx="819391" cy="180627"/>
    <xdr:sp macro="_xll.PtreeEvent_ObjectClick" textlink="">
      <xdr:nvSpPr>
        <xdr:cNvPr id="110" name="PTObj_DBranchName_1_26">
          <a:extLst>
            <a:ext uri="{FF2B5EF4-FFF2-40B4-BE49-F238E27FC236}">
              <a16:creationId xmlns:a16="http://schemas.microsoft.com/office/drawing/2014/main" id="{4097F8B8-CBFE-9DF9-8BED-CFC900161FAE}"/>
            </a:ext>
          </a:extLst>
        </xdr:cNvPr>
        <xdr:cNvSpPr txBox="1"/>
      </xdr:nvSpPr>
      <xdr:spPr>
        <a:xfrm>
          <a:off x="14476222" y="89279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52</xdr:row>
      <xdr:rowOff>86995</xdr:rowOff>
    </xdr:from>
    <xdr:to>
      <xdr:col>9</xdr:col>
      <xdr:colOff>184277</xdr:colOff>
      <xdr:row>53</xdr:row>
      <xdr:rowOff>86995</xdr:rowOff>
    </xdr:to>
    <xdr:sp macro="_xll.PtreeEvent_ObjectClick" textlink="">
      <xdr:nvSpPr>
        <xdr:cNvPr id="111" name="PTObj_DNode_1_27">
          <a:extLst>
            <a:ext uri="{FF2B5EF4-FFF2-40B4-BE49-F238E27FC236}">
              <a16:creationId xmlns:a16="http://schemas.microsoft.com/office/drawing/2014/main" id="{CE5233E9-540D-D05A-9750-F5EA4D3BBDF2}"/>
            </a:ext>
          </a:extLst>
        </xdr:cNvPr>
        <xdr:cNvSpPr/>
      </xdr:nvSpPr>
      <xdr:spPr>
        <a:xfrm rot="-5400000">
          <a:off x="15925927" y="9662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52</xdr:row>
      <xdr:rowOff>88757</xdr:rowOff>
    </xdr:from>
    <xdr:ext cx="774956" cy="180627"/>
    <xdr:sp macro="_xll.PtreeEvent_ObjectClick" textlink="">
      <xdr:nvSpPr>
        <xdr:cNvPr id="114" name="PTObj_DBranchName_1_27">
          <a:extLst>
            <a:ext uri="{FF2B5EF4-FFF2-40B4-BE49-F238E27FC236}">
              <a16:creationId xmlns:a16="http://schemas.microsoft.com/office/drawing/2014/main" id="{1B24465B-F658-332B-6A04-671031D1AD57}"/>
            </a:ext>
          </a:extLst>
        </xdr:cNvPr>
        <xdr:cNvSpPr txBox="1"/>
      </xdr:nvSpPr>
      <xdr:spPr>
        <a:xfrm>
          <a:off x="14476222" y="96645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62</xdr:row>
      <xdr:rowOff>86995</xdr:rowOff>
    </xdr:from>
    <xdr:to>
      <xdr:col>7</xdr:col>
      <xdr:colOff>184277</xdr:colOff>
      <xdr:row>63</xdr:row>
      <xdr:rowOff>86995</xdr:rowOff>
    </xdr:to>
    <xdr:sp macro="_xll.PtreeEvent_ObjectClick" textlink="">
      <xdr:nvSpPr>
        <xdr:cNvPr id="115" name="PTObj_DNode_1_28">
          <a:extLst>
            <a:ext uri="{FF2B5EF4-FFF2-40B4-BE49-F238E27FC236}">
              <a16:creationId xmlns:a16="http://schemas.microsoft.com/office/drawing/2014/main" id="{B3B91848-6DC7-748F-6CA9-28E93822B84D}"/>
            </a:ext>
          </a:extLst>
        </xdr:cNvPr>
        <xdr:cNvSpPr/>
      </xdr:nvSpPr>
      <xdr:spPr>
        <a:xfrm>
          <a:off x="12509627" y="11504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62</xdr:row>
      <xdr:rowOff>88757</xdr:rowOff>
    </xdr:from>
    <xdr:ext cx="219676" cy="180627"/>
    <xdr:sp macro="_xll.PtreeEvent_ObjectClick" textlink="">
      <xdr:nvSpPr>
        <xdr:cNvPr id="118" name="PTObj_DBranchName_1_28">
          <a:extLst>
            <a:ext uri="{FF2B5EF4-FFF2-40B4-BE49-F238E27FC236}">
              <a16:creationId xmlns:a16="http://schemas.microsoft.com/office/drawing/2014/main" id="{D7F9C8FE-57C5-B045-D7A4-37B5AB113290}"/>
            </a:ext>
          </a:extLst>
        </xdr:cNvPr>
        <xdr:cNvSpPr txBox="1"/>
      </xdr:nvSpPr>
      <xdr:spPr>
        <a:xfrm>
          <a:off x="11180572" y="11506057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58</xdr:row>
      <xdr:rowOff>86995</xdr:rowOff>
    </xdr:from>
    <xdr:to>
      <xdr:col>8</xdr:col>
      <xdr:colOff>184277</xdr:colOff>
      <xdr:row>59</xdr:row>
      <xdr:rowOff>86995</xdr:rowOff>
    </xdr:to>
    <xdr:sp macro="_xll.PtreeEvent_ObjectClick" textlink="">
      <xdr:nvSpPr>
        <xdr:cNvPr id="119" name="PTObj_DNode_1_29">
          <a:extLst>
            <a:ext uri="{FF2B5EF4-FFF2-40B4-BE49-F238E27FC236}">
              <a16:creationId xmlns:a16="http://schemas.microsoft.com/office/drawing/2014/main" id="{6B818B5B-2CAC-18F3-2EF1-1FFE1B4DD07A}"/>
            </a:ext>
          </a:extLst>
        </xdr:cNvPr>
        <xdr:cNvSpPr/>
      </xdr:nvSpPr>
      <xdr:spPr>
        <a:xfrm>
          <a:off x="14198727" y="10767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58</xdr:row>
      <xdr:rowOff>88757</xdr:rowOff>
    </xdr:from>
    <xdr:ext cx="765531" cy="180627"/>
    <xdr:sp macro="_xll.PtreeEvent_ObjectClick" textlink="">
      <xdr:nvSpPr>
        <xdr:cNvPr id="122" name="PTObj_DBranchName_1_29">
          <a:extLst>
            <a:ext uri="{FF2B5EF4-FFF2-40B4-BE49-F238E27FC236}">
              <a16:creationId xmlns:a16="http://schemas.microsoft.com/office/drawing/2014/main" id="{46511555-8F96-B76A-DD27-2BE67A24DA42}"/>
            </a:ext>
          </a:extLst>
        </xdr:cNvPr>
        <xdr:cNvSpPr txBox="1"/>
      </xdr:nvSpPr>
      <xdr:spPr>
        <a:xfrm>
          <a:off x="12787122" y="107694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56</xdr:row>
      <xdr:rowOff>86995</xdr:rowOff>
    </xdr:from>
    <xdr:to>
      <xdr:col>9</xdr:col>
      <xdr:colOff>184277</xdr:colOff>
      <xdr:row>57</xdr:row>
      <xdr:rowOff>86995</xdr:rowOff>
    </xdr:to>
    <xdr:sp macro="_xll.PtreeEvent_ObjectClick" textlink="">
      <xdr:nvSpPr>
        <xdr:cNvPr id="123" name="PTObj_DNode_1_30">
          <a:extLst>
            <a:ext uri="{FF2B5EF4-FFF2-40B4-BE49-F238E27FC236}">
              <a16:creationId xmlns:a16="http://schemas.microsoft.com/office/drawing/2014/main" id="{AC936874-E0FE-3255-F25F-8E8621EF8E0D}"/>
            </a:ext>
          </a:extLst>
        </xdr:cNvPr>
        <xdr:cNvSpPr/>
      </xdr:nvSpPr>
      <xdr:spPr>
        <a:xfrm rot="-5400000">
          <a:off x="15925927" y="10399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56</xdr:row>
      <xdr:rowOff>88757</xdr:rowOff>
    </xdr:from>
    <xdr:ext cx="819391" cy="180627"/>
    <xdr:sp macro="_xll.PtreeEvent_ObjectClick" textlink="">
      <xdr:nvSpPr>
        <xdr:cNvPr id="126" name="PTObj_DBranchName_1_30">
          <a:extLst>
            <a:ext uri="{FF2B5EF4-FFF2-40B4-BE49-F238E27FC236}">
              <a16:creationId xmlns:a16="http://schemas.microsoft.com/office/drawing/2014/main" id="{9B01D703-098A-C2E5-00B5-0AE1B882F113}"/>
            </a:ext>
          </a:extLst>
        </xdr:cNvPr>
        <xdr:cNvSpPr txBox="1"/>
      </xdr:nvSpPr>
      <xdr:spPr>
        <a:xfrm>
          <a:off x="14476222" y="104011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60</xdr:row>
      <xdr:rowOff>86995</xdr:rowOff>
    </xdr:from>
    <xdr:to>
      <xdr:col>9</xdr:col>
      <xdr:colOff>184277</xdr:colOff>
      <xdr:row>61</xdr:row>
      <xdr:rowOff>86995</xdr:rowOff>
    </xdr:to>
    <xdr:sp macro="_xll.PtreeEvent_ObjectClick" textlink="">
      <xdr:nvSpPr>
        <xdr:cNvPr id="127" name="PTObj_DNode_1_31">
          <a:extLst>
            <a:ext uri="{FF2B5EF4-FFF2-40B4-BE49-F238E27FC236}">
              <a16:creationId xmlns:a16="http://schemas.microsoft.com/office/drawing/2014/main" id="{76266305-C3EE-7724-A74D-15A531699E6D}"/>
            </a:ext>
          </a:extLst>
        </xdr:cNvPr>
        <xdr:cNvSpPr/>
      </xdr:nvSpPr>
      <xdr:spPr>
        <a:xfrm rot="-5400000">
          <a:off x="15925927" y="11135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60</xdr:row>
      <xdr:rowOff>88757</xdr:rowOff>
    </xdr:from>
    <xdr:ext cx="774956" cy="180627"/>
    <xdr:sp macro="_xll.PtreeEvent_ObjectClick" textlink="">
      <xdr:nvSpPr>
        <xdr:cNvPr id="130" name="PTObj_DBranchName_1_31">
          <a:extLst>
            <a:ext uri="{FF2B5EF4-FFF2-40B4-BE49-F238E27FC236}">
              <a16:creationId xmlns:a16="http://schemas.microsoft.com/office/drawing/2014/main" id="{637EB7ED-4D9A-9833-7BF6-1CD04934F701}"/>
            </a:ext>
          </a:extLst>
        </xdr:cNvPr>
        <xdr:cNvSpPr txBox="1"/>
      </xdr:nvSpPr>
      <xdr:spPr>
        <a:xfrm>
          <a:off x="14476222" y="111377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66</xdr:row>
      <xdr:rowOff>86995</xdr:rowOff>
    </xdr:from>
    <xdr:to>
      <xdr:col>8</xdr:col>
      <xdr:colOff>184277</xdr:colOff>
      <xdr:row>67</xdr:row>
      <xdr:rowOff>86995</xdr:rowOff>
    </xdr:to>
    <xdr:sp macro="_xll.PtreeEvent_ObjectClick" textlink="">
      <xdr:nvSpPr>
        <xdr:cNvPr id="131" name="PTObj_DNode_1_32">
          <a:extLst>
            <a:ext uri="{FF2B5EF4-FFF2-40B4-BE49-F238E27FC236}">
              <a16:creationId xmlns:a16="http://schemas.microsoft.com/office/drawing/2014/main" id="{70BE824F-657E-3C50-F665-713C2AA0EB1D}"/>
            </a:ext>
          </a:extLst>
        </xdr:cNvPr>
        <xdr:cNvSpPr/>
      </xdr:nvSpPr>
      <xdr:spPr>
        <a:xfrm>
          <a:off x="14198727" y="12240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66</xdr:row>
      <xdr:rowOff>88757</xdr:rowOff>
    </xdr:from>
    <xdr:ext cx="784574" cy="180627"/>
    <xdr:sp macro="_xll.PtreeEvent_ObjectClick" textlink="">
      <xdr:nvSpPr>
        <xdr:cNvPr id="134" name="PTObj_DBranchName_1_32">
          <a:extLst>
            <a:ext uri="{FF2B5EF4-FFF2-40B4-BE49-F238E27FC236}">
              <a16:creationId xmlns:a16="http://schemas.microsoft.com/office/drawing/2014/main" id="{E50E2C7F-618F-2540-8AB9-F2B42DB0B43B}"/>
            </a:ext>
          </a:extLst>
        </xdr:cNvPr>
        <xdr:cNvSpPr txBox="1"/>
      </xdr:nvSpPr>
      <xdr:spPr>
        <a:xfrm>
          <a:off x="12787122" y="122426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64</xdr:row>
      <xdr:rowOff>86995</xdr:rowOff>
    </xdr:from>
    <xdr:to>
      <xdr:col>9</xdr:col>
      <xdr:colOff>184277</xdr:colOff>
      <xdr:row>65</xdr:row>
      <xdr:rowOff>86995</xdr:rowOff>
    </xdr:to>
    <xdr:sp macro="_xll.PtreeEvent_ObjectClick" textlink="">
      <xdr:nvSpPr>
        <xdr:cNvPr id="135" name="PTObj_DNode_1_33">
          <a:extLst>
            <a:ext uri="{FF2B5EF4-FFF2-40B4-BE49-F238E27FC236}">
              <a16:creationId xmlns:a16="http://schemas.microsoft.com/office/drawing/2014/main" id="{1D4D833D-F902-DC50-2DB1-5F22DAD4DACC}"/>
            </a:ext>
          </a:extLst>
        </xdr:cNvPr>
        <xdr:cNvSpPr/>
      </xdr:nvSpPr>
      <xdr:spPr>
        <a:xfrm rot="-5400000">
          <a:off x="15925927" y="11872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64</xdr:row>
      <xdr:rowOff>88757</xdr:rowOff>
    </xdr:from>
    <xdr:ext cx="819391" cy="180627"/>
    <xdr:sp macro="_xll.PtreeEvent_ObjectClick" textlink="">
      <xdr:nvSpPr>
        <xdr:cNvPr id="138" name="PTObj_DBranchName_1_33">
          <a:extLst>
            <a:ext uri="{FF2B5EF4-FFF2-40B4-BE49-F238E27FC236}">
              <a16:creationId xmlns:a16="http://schemas.microsoft.com/office/drawing/2014/main" id="{8F862E28-F950-BFE1-20C9-94E3960245AB}"/>
            </a:ext>
          </a:extLst>
        </xdr:cNvPr>
        <xdr:cNvSpPr txBox="1"/>
      </xdr:nvSpPr>
      <xdr:spPr>
        <a:xfrm>
          <a:off x="14476222" y="118743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68</xdr:row>
      <xdr:rowOff>86995</xdr:rowOff>
    </xdr:from>
    <xdr:to>
      <xdr:col>9</xdr:col>
      <xdr:colOff>184277</xdr:colOff>
      <xdr:row>69</xdr:row>
      <xdr:rowOff>86995</xdr:rowOff>
    </xdr:to>
    <xdr:sp macro="_xll.PtreeEvent_ObjectClick" textlink="">
      <xdr:nvSpPr>
        <xdr:cNvPr id="139" name="PTObj_DNode_1_34">
          <a:extLst>
            <a:ext uri="{FF2B5EF4-FFF2-40B4-BE49-F238E27FC236}">
              <a16:creationId xmlns:a16="http://schemas.microsoft.com/office/drawing/2014/main" id="{1328C153-4893-CE71-6630-8A227801A006}"/>
            </a:ext>
          </a:extLst>
        </xdr:cNvPr>
        <xdr:cNvSpPr/>
      </xdr:nvSpPr>
      <xdr:spPr>
        <a:xfrm rot="-5400000">
          <a:off x="15925927" y="12609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68</xdr:row>
      <xdr:rowOff>88757</xdr:rowOff>
    </xdr:from>
    <xdr:ext cx="774956" cy="180627"/>
    <xdr:sp macro="_xll.PtreeEvent_ObjectClick" textlink="">
      <xdr:nvSpPr>
        <xdr:cNvPr id="142" name="PTObj_DBranchName_1_34">
          <a:extLst>
            <a:ext uri="{FF2B5EF4-FFF2-40B4-BE49-F238E27FC236}">
              <a16:creationId xmlns:a16="http://schemas.microsoft.com/office/drawing/2014/main" id="{7229061D-353C-EA2C-52DF-09356AEA37B4}"/>
            </a:ext>
          </a:extLst>
        </xdr:cNvPr>
        <xdr:cNvSpPr txBox="1"/>
      </xdr:nvSpPr>
      <xdr:spPr>
        <a:xfrm>
          <a:off x="14476222" y="126109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5</xdr:col>
      <xdr:colOff>127</xdr:colOff>
      <xdr:row>102</xdr:row>
      <xdr:rowOff>86995</xdr:rowOff>
    </xdr:from>
    <xdr:to>
      <xdr:col>5</xdr:col>
      <xdr:colOff>184277</xdr:colOff>
      <xdr:row>103</xdr:row>
      <xdr:rowOff>86995</xdr:rowOff>
    </xdr:to>
    <xdr:sp macro="_xll.PtreeEvent_ObjectClick" textlink="">
      <xdr:nvSpPr>
        <xdr:cNvPr id="143" name="PTObj_DNode_1_35">
          <a:extLst>
            <a:ext uri="{FF2B5EF4-FFF2-40B4-BE49-F238E27FC236}">
              <a16:creationId xmlns:a16="http://schemas.microsoft.com/office/drawing/2014/main" id="{E62B5248-4ACA-3FC4-E9C3-22B08EF603A4}"/>
            </a:ext>
          </a:extLst>
        </xdr:cNvPr>
        <xdr:cNvSpPr/>
      </xdr:nvSpPr>
      <xdr:spPr>
        <a:xfrm>
          <a:off x="8617077" y="18870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102</xdr:row>
      <xdr:rowOff>88756</xdr:rowOff>
    </xdr:from>
    <xdr:ext cx="543546" cy="180627"/>
    <xdr:sp macro="_xll.PtreeEvent_ObjectClick" textlink="">
      <xdr:nvSpPr>
        <xdr:cNvPr id="146" name="PTObj_DBranchName_1_35">
          <a:extLst>
            <a:ext uri="{FF2B5EF4-FFF2-40B4-BE49-F238E27FC236}">
              <a16:creationId xmlns:a16="http://schemas.microsoft.com/office/drawing/2014/main" id="{55605E67-41E2-93DF-BA27-3692A8571E42}"/>
            </a:ext>
          </a:extLst>
        </xdr:cNvPr>
        <xdr:cNvSpPr txBox="1"/>
      </xdr:nvSpPr>
      <xdr:spPr>
        <a:xfrm>
          <a:off x="6627622" y="18872056"/>
          <a:ext cx="5435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cloudy days</a:t>
          </a:r>
        </a:p>
      </xdr:txBody>
    </xdr:sp>
    <xdr:clientData/>
  </xdr:oneCellAnchor>
  <xdr:twoCellAnchor editAs="oneCell">
    <xdr:from>
      <xdr:col>6</xdr:col>
      <xdr:colOff>127</xdr:colOff>
      <xdr:row>86</xdr:row>
      <xdr:rowOff>86995</xdr:rowOff>
    </xdr:from>
    <xdr:to>
      <xdr:col>6</xdr:col>
      <xdr:colOff>184277</xdr:colOff>
      <xdr:row>87</xdr:row>
      <xdr:rowOff>86995</xdr:rowOff>
    </xdr:to>
    <xdr:sp macro="_xll.PtreeEvent_ObjectClick" textlink="">
      <xdr:nvSpPr>
        <xdr:cNvPr id="147" name="PTObj_DNode_1_36">
          <a:extLst>
            <a:ext uri="{FF2B5EF4-FFF2-40B4-BE49-F238E27FC236}">
              <a16:creationId xmlns:a16="http://schemas.microsoft.com/office/drawing/2014/main" id="{D5064E61-DAE1-B58A-DD4F-9DB79090FDF1}"/>
            </a:ext>
          </a:extLst>
        </xdr:cNvPr>
        <xdr:cNvSpPr/>
      </xdr:nvSpPr>
      <xdr:spPr>
        <a:xfrm>
          <a:off x="10903077" y="15923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86</xdr:row>
      <xdr:rowOff>88756</xdr:rowOff>
    </xdr:from>
    <xdr:ext cx="805605" cy="180627"/>
    <xdr:sp macro="_xll.PtreeEvent_ObjectClick" textlink="">
      <xdr:nvSpPr>
        <xdr:cNvPr id="150" name="PTObj_DBranchName_1_36">
          <a:extLst>
            <a:ext uri="{FF2B5EF4-FFF2-40B4-BE49-F238E27FC236}">
              <a16:creationId xmlns:a16="http://schemas.microsoft.com/office/drawing/2014/main" id="{E62C1712-B790-958C-5812-72D3B75A049B}"/>
            </a:ext>
          </a:extLst>
        </xdr:cNvPr>
        <xdr:cNvSpPr txBox="1"/>
      </xdr:nvSpPr>
      <xdr:spPr>
        <a:xfrm>
          <a:off x="8894572" y="15925656"/>
          <a:ext cx="80560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7</xdr:col>
      <xdr:colOff>127</xdr:colOff>
      <xdr:row>78</xdr:row>
      <xdr:rowOff>86995</xdr:rowOff>
    </xdr:from>
    <xdr:to>
      <xdr:col>7</xdr:col>
      <xdr:colOff>184277</xdr:colOff>
      <xdr:row>79</xdr:row>
      <xdr:rowOff>86995</xdr:rowOff>
    </xdr:to>
    <xdr:sp macro="_xll.PtreeEvent_ObjectClick" textlink="">
      <xdr:nvSpPr>
        <xdr:cNvPr id="151" name="PTObj_DNode_1_37">
          <a:extLst>
            <a:ext uri="{FF2B5EF4-FFF2-40B4-BE49-F238E27FC236}">
              <a16:creationId xmlns:a16="http://schemas.microsoft.com/office/drawing/2014/main" id="{6FDB2FC2-A81C-12E0-42EB-272B91A698DA}"/>
            </a:ext>
          </a:extLst>
        </xdr:cNvPr>
        <xdr:cNvSpPr/>
      </xdr:nvSpPr>
      <xdr:spPr>
        <a:xfrm>
          <a:off x="12509627" y="14450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78</xdr:row>
      <xdr:rowOff>88756</xdr:rowOff>
    </xdr:from>
    <xdr:ext cx="363240" cy="180627"/>
    <xdr:sp macro="_xll.PtreeEvent_ObjectClick" textlink="">
      <xdr:nvSpPr>
        <xdr:cNvPr id="154" name="PTObj_DBranchName_1_37">
          <a:extLst>
            <a:ext uri="{FF2B5EF4-FFF2-40B4-BE49-F238E27FC236}">
              <a16:creationId xmlns:a16="http://schemas.microsoft.com/office/drawing/2014/main" id="{666A5C5D-8D77-DA98-F959-8AB19E786209}"/>
            </a:ext>
          </a:extLst>
        </xdr:cNvPr>
        <xdr:cNvSpPr txBox="1"/>
      </xdr:nvSpPr>
      <xdr:spPr>
        <a:xfrm>
          <a:off x="11180572" y="14452456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74</xdr:row>
      <xdr:rowOff>86995</xdr:rowOff>
    </xdr:from>
    <xdr:to>
      <xdr:col>8</xdr:col>
      <xdr:colOff>184277</xdr:colOff>
      <xdr:row>75</xdr:row>
      <xdr:rowOff>86995</xdr:rowOff>
    </xdr:to>
    <xdr:sp macro="_xll.PtreeEvent_ObjectClick" textlink="">
      <xdr:nvSpPr>
        <xdr:cNvPr id="155" name="PTObj_DNode_1_38">
          <a:extLst>
            <a:ext uri="{FF2B5EF4-FFF2-40B4-BE49-F238E27FC236}">
              <a16:creationId xmlns:a16="http://schemas.microsoft.com/office/drawing/2014/main" id="{D4B67714-7A91-8DB4-E7EA-6395DCE48A77}"/>
            </a:ext>
          </a:extLst>
        </xdr:cNvPr>
        <xdr:cNvSpPr/>
      </xdr:nvSpPr>
      <xdr:spPr>
        <a:xfrm>
          <a:off x="14198727" y="13714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74</xdr:row>
      <xdr:rowOff>88756</xdr:rowOff>
    </xdr:from>
    <xdr:ext cx="765531" cy="180627"/>
    <xdr:sp macro="_xll.PtreeEvent_ObjectClick" textlink="">
      <xdr:nvSpPr>
        <xdr:cNvPr id="158" name="PTObj_DBranchName_1_38">
          <a:extLst>
            <a:ext uri="{FF2B5EF4-FFF2-40B4-BE49-F238E27FC236}">
              <a16:creationId xmlns:a16="http://schemas.microsoft.com/office/drawing/2014/main" id="{D242F85A-5DC4-CC6E-9A9C-F5A1E7553B59}"/>
            </a:ext>
          </a:extLst>
        </xdr:cNvPr>
        <xdr:cNvSpPr txBox="1"/>
      </xdr:nvSpPr>
      <xdr:spPr>
        <a:xfrm>
          <a:off x="12787122" y="13715856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72</xdr:row>
      <xdr:rowOff>86995</xdr:rowOff>
    </xdr:from>
    <xdr:to>
      <xdr:col>9</xdr:col>
      <xdr:colOff>184277</xdr:colOff>
      <xdr:row>73</xdr:row>
      <xdr:rowOff>86995</xdr:rowOff>
    </xdr:to>
    <xdr:sp macro="_xll.PtreeEvent_ObjectClick" textlink="">
      <xdr:nvSpPr>
        <xdr:cNvPr id="159" name="PTObj_DNode_1_39">
          <a:extLst>
            <a:ext uri="{FF2B5EF4-FFF2-40B4-BE49-F238E27FC236}">
              <a16:creationId xmlns:a16="http://schemas.microsoft.com/office/drawing/2014/main" id="{AAA3118C-360E-8907-937E-70FF88441CCE}"/>
            </a:ext>
          </a:extLst>
        </xdr:cNvPr>
        <xdr:cNvSpPr/>
      </xdr:nvSpPr>
      <xdr:spPr>
        <a:xfrm rot="-5400000">
          <a:off x="15925927" y="13345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72</xdr:row>
      <xdr:rowOff>88756</xdr:rowOff>
    </xdr:from>
    <xdr:ext cx="819391" cy="180627"/>
    <xdr:sp macro="_xll.PtreeEvent_ObjectClick" textlink="">
      <xdr:nvSpPr>
        <xdr:cNvPr id="162" name="PTObj_DBranchName_1_39">
          <a:extLst>
            <a:ext uri="{FF2B5EF4-FFF2-40B4-BE49-F238E27FC236}">
              <a16:creationId xmlns:a16="http://schemas.microsoft.com/office/drawing/2014/main" id="{F7F410F2-5293-378E-E55D-48DE06AFCD76}"/>
            </a:ext>
          </a:extLst>
        </xdr:cNvPr>
        <xdr:cNvSpPr txBox="1"/>
      </xdr:nvSpPr>
      <xdr:spPr>
        <a:xfrm>
          <a:off x="14476222" y="133475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76</xdr:row>
      <xdr:rowOff>86995</xdr:rowOff>
    </xdr:from>
    <xdr:to>
      <xdr:col>9</xdr:col>
      <xdr:colOff>184277</xdr:colOff>
      <xdr:row>77</xdr:row>
      <xdr:rowOff>86995</xdr:rowOff>
    </xdr:to>
    <xdr:sp macro="_xll.PtreeEvent_ObjectClick" textlink="">
      <xdr:nvSpPr>
        <xdr:cNvPr id="163" name="PTObj_DNode_1_40">
          <a:extLst>
            <a:ext uri="{FF2B5EF4-FFF2-40B4-BE49-F238E27FC236}">
              <a16:creationId xmlns:a16="http://schemas.microsoft.com/office/drawing/2014/main" id="{0AF7FE7E-AA3D-FF1F-BB19-3A2255A7DBDB}"/>
            </a:ext>
          </a:extLst>
        </xdr:cNvPr>
        <xdr:cNvSpPr/>
      </xdr:nvSpPr>
      <xdr:spPr>
        <a:xfrm rot="-5400000">
          <a:off x="15925927" y="14082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76</xdr:row>
      <xdr:rowOff>88756</xdr:rowOff>
    </xdr:from>
    <xdr:ext cx="774956" cy="180627"/>
    <xdr:sp macro="_xll.PtreeEvent_ObjectClick" textlink="">
      <xdr:nvSpPr>
        <xdr:cNvPr id="166" name="PTObj_DBranchName_1_40">
          <a:extLst>
            <a:ext uri="{FF2B5EF4-FFF2-40B4-BE49-F238E27FC236}">
              <a16:creationId xmlns:a16="http://schemas.microsoft.com/office/drawing/2014/main" id="{36ECDEE2-68D9-D3B6-4316-7AD5253995FD}"/>
            </a:ext>
          </a:extLst>
        </xdr:cNvPr>
        <xdr:cNvSpPr txBox="1"/>
      </xdr:nvSpPr>
      <xdr:spPr>
        <a:xfrm>
          <a:off x="14476222" y="140841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82</xdr:row>
      <xdr:rowOff>86995</xdr:rowOff>
    </xdr:from>
    <xdr:to>
      <xdr:col>8</xdr:col>
      <xdr:colOff>184277</xdr:colOff>
      <xdr:row>83</xdr:row>
      <xdr:rowOff>86995</xdr:rowOff>
    </xdr:to>
    <xdr:sp macro="_xll.PtreeEvent_ObjectClick" textlink="">
      <xdr:nvSpPr>
        <xdr:cNvPr id="167" name="PTObj_DNode_1_41">
          <a:extLst>
            <a:ext uri="{FF2B5EF4-FFF2-40B4-BE49-F238E27FC236}">
              <a16:creationId xmlns:a16="http://schemas.microsoft.com/office/drawing/2014/main" id="{FEB580C4-4181-4FBB-86D3-148ECE1333F3}"/>
            </a:ext>
          </a:extLst>
        </xdr:cNvPr>
        <xdr:cNvSpPr/>
      </xdr:nvSpPr>
      <xdr:spPr>
        <a:xfrm>
          <a:off x="14198727" y="15187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82</xdr:row>
      <xdr:rowOff>88756</xdr:rowOff>
    </xdr:from>
    <xdr:ext cx="784574" cy="180627"/>
    <xdr:sp macro="_xll.PtreeEvent_ObjectClick" textlink="">
      <xdr:nvSpPr>
        <xdr:cNvPr id="170" name="PTObj_DBranchName_1_41">
          <a:extLst>
            <a:ext uri="{FF2B5EF4-FFF2-40B4-BE49-F238E27FC236}">
              <a16:creationId xmlns:a16="http://schemas.microsoft.com/office/drawing/2014/main" id="{3AE2B29D-695B-F698-443C-58524FAC29BE}"/>
            </a:ext>
          </a:extLst>
        </xdr:cNvPr>
        <xdr:cNvSpPr txBox="1"/>
      </xdr:nvSpPr>
      <xdr:spPr>
        <a:xfrm>
          <a:off x="12787122" y="15189056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80</xdr:row>
      <xdr:rowOff>86995</xdr:rowOff>
    </xdr:from>
    <xdr:to>
      <xdr:col>9</xdr:col>
      <xdr:colOff>184277</xdr:colOff>
      <xdr:row>81</xdr:row>
      <xdr:rowOff>86995</xdr:rowOff>
    </xdr:to>
    <xdr:sp macro="_xll.PtreeEvent_ObjectClick" textlink="">
      <xdr:nvSpPr>
        <xdr:cNvPr id="171" name="PTObj_DNode_1_42">
          <a:extLst>
            <a:ext uri="{FF2B5EF4-FFF2-40B4-BE49-F238E27FC236}">
              <a16:creationId xmlns:a16="http://schemas.microsoft.com/office/drawing/2014/main" id="{B0F61D3A-7A17-DCE4-5A24-1DBF04ED4C5E}"/>
            </a:ext>
          </a:extLst>
        </xdr:cNvPr>
        <xdr:cNvSpPr/>
      </xdr:nvSpPr>
      <xdr:spPr>
        <a:xfrm rot="-5400000">
          <a:off x="15925927" y="14818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80</xdr:row>
      <xdr:rowOff>88756</xdr:rowOff>
    </xdr:from>
    <xdr:ext cx="819391" cy="180627"/>
    <xdr:sp macro="_xll.PtreeEvent_ObjectClick" textlink="">
      <xdr:nvSpPr>
        <xdr:cNvPr id="174" name="PTObj_DBranchName_1_42">
          <a:extLst>
            <a:ext uri="{FF2B5EF4-FFF2-40B4-BE49-F238E27FC236}">
              <a16:creationId xmlns:a16="http://schemas.microsoft.com/office/drawing/2014/main" id="{1521F85D-66B8-74BD-8494-115FB31B4B36}"/>
            </a:ext>
          </a:extLst>
        </xdr:cNvPr>
        <xdr:cNvSpPr txBox="1"/>
      </xdr:nvSpPr>
      <xdr:spPr>
        <a:xfrm>
          <a:off x="14476222" y="148207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84</xdr:row>
      <xdr:rowOff>86995</xdr:rowOff>
    </xdr:from>
    <xdr:to>
      <xdr:col>9</xdr:col>
      <xdr:colOff>184277</xdr:colOff>
      <xdr:row>85</xdr:row>
      <xdr:rowOff>86995</xdr:rowOff>
    </xdr:to>
    <xdr:sp macro="_xll.PtreeEvent_ObjectClick" textlink="">
      <xdr:nvSpPr>
        <xdr:cNvPr id="175" name="PTObj_DNode_1_43">
          <a:extLst>
            <a:ext uri="{FF2B5EF4-FFF2-40B4-BE49-F238E27FC236}">
              <a16:creationId xmlns:a16="http://schemas.microsoft.com/office/drawing/2014/main" id="{B260019C-4DDF-0E79-6BD5-EC4A82B423BF}"/>
            </a:ext>
          </a:extLst>
        </xdr:cNvPr>
        <xdr:cNvSpPr/>
      </xdr:nvSpPr>
      <xdr:spPr>
        <a:xfrm rot="-5400000">
          <a:off x="15925927" y="15555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84</xdr:row>
      <xdr:rowOff>88756</xdr:rowOff>
    </xdr:from>
    <xdr:ext cx="774956" cy="180627"/>
    <xdr:sp macro="_xll.PtreeEvent_ObjectClick" textlink="">
      <xdr:nvSpPr>
        <xdr:cNvPr id="178" name="PTObj_DBranchName_1_43">
          <a:extLst>
            <a:ext uri="{FF2B5EF4-FFF2-40B4-BE49-F238E27FC236}">
              <a16:creationId xmlns:a16="http://schemas.microsoft.com/office/drawing/2014/main" id="{A35E7330-36D3-63DD-E43B-F0987892442D}"/>
            </a:ext>
          </a:extLst>
        </xdr:cNvPr>
        <xdr:cNvSpPr txBox="1"/>
      </xdr:nvSpPr>
      <xdr:spPr>
        <a:xfrm>
          <a:off x="14476222" y="155573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94</xdr:row>
      <xdr:rowOff>86995</xdr:rowOff>
    </xdr:from>
    <xdr:to>
      <xdr:col>7</xdr:col>
      <xdr:colOff>184277</xdr:colOff>
      <xdr:row>95</xdr:row>
      <xdr:rowOff>86995</xdr:rowOff>
    </xdr:to>
    <xdr:sp macro="_xll.PtreeEvent_ObjectClick" textlink="">
      <xdr:nvSpPr>
        <xdr:cNvPr id="179" name="PTObj_DNode_1_44">
          <a:extLst>
            <a:ext uri="{FF2B5EF4-FFF2-40B4-BE49-F238E27FC236}">
              <a16:creationId xmlns:a16="http://schemas.microsoft.com/office/drawing/2014/main" id="{74B50698-03C6-FDAD-0DFB-22A36EDA6EEB}"/>
            </a:ext>
          </a:extLst>
        </xdr:cNvPr>
        <xdr:cNvSpPr/>
      </xdr:nvSpPr>
      <xdr:spPr>
        <a:xfrm>
          <a:off x="12509627" y="17397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94</xdr:row>
      <xdr:rowOff>88756</xdr:rowOff>
    </xdr:from>
    <xdr:ext cx="219676" cy="180627"/>
    <xdr:sp macro="_xll.PtreeEvent_ObjectClick" textlink="">
      <xdr:nvSpPr>
        <xdr:cNvPr id="182" name="PTObj_DBranchName_1_44">
          <a:extLst>
            <a:ext uri="{FF2B5EF4-FFF2-40B4-BE49-F238E27FC236}">
              <a16:creationId xmlns:a16="http://schemas.microsoft.com/office/drawing/2014/main" id="{A13E42C8-BECB-E754-F6A6-3F9695BB68FF}"/>
            </a:ext>
          </a:extLst>
        </xdr:cNvPr>
        <xdr:cNvSpPr txBox="1"/>
      </xdr:nvSpPr>
      <xdr:spPr>
        <a:xfrm>
          <a:off x="11180572" y="17398856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90</xdr:row>
      <xdr:rowOff>86995</xdr:rowOff>
    </xdr:from>
    <xdr:to>
      <xdr:col>8</xdr:col>
      <xdr:colOff>184277</xdr:colOff>
      <xdr:row>91</xdr:row>
      <xdr:rowOff>86995</xdr:rowOff>
    </xdr:to>
    <xdr:sp macro="_xll.PtreeEvent_ObjectClick" textlink="">
      <xdr:nvSpPr>
        <xdr:cNvPr id="183" name="PTObj_DNode_1_45">
          <a:extLst>
            <a:ext uri="{FF2B5EF4-FFF2-40B4-BE49-F238E27FC236}">
              <a16:creationId xmlns:a16="http://schemas.microsoft.com/office/drawing/2014/main" id="{E1D602B6-5A16-0131-99CD-72B2128B33E8}"/>
            </a:ext>
          </a:extLst>
        </xdr:cNvPr>
        <xdr:cNvSpPr/>
      </xdr:nvSpPr>
      <xdr:spPr>
        <a:xfrm>
          <a:off x="14198727" y="16660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90</xdr:row>
      <xdr:rowOff>88756</xdr:rowOff>
    </xdr:from>
    <xdr:ext cx="765531" cy="180627"/>
    <xdr:sp macro="_xll.PtreeEvent_ObjectClick" textlink="">
      <xdr:nvSpPr>
        <xdr:cNvPr id="186" name="PTObj_DBranchName_1_45">
          <a:extLst>
            <a:ext uri="{FF2B5EF4-FFF2-40B4-BE49-F238E27FC236}">
              <a16:creationId xmlns:a16="http://schemas.microsoft.com/office/drawing/2014/main" id="{FC176D87-7B8E-F29C-F6D9-C15BF4CAF4C8}"/>
            </a:ext>
          </a:extLst>
        </xdr:cNvPr>
        <xdr:cNvSpPr txBox="1"/>
      </xdr:nvSpPr>
      <xdr:spPr>
        <a:xfrm>
          <a:off x="12787122" y="16662256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88</xdr:row>
      <xdr:rowOff>86995</xdr:rowOff>
    </xdr:from>
    <xdr:to>
      <xdr:col>9</xdr:col>
      <xdr:colOff>184277</xdr:colOff>
      <xdr:row>89</xdr:row>
      <xdr:rowOff>86995</xdr:rowOff>
    </xdr:to>
    <xdr:sp macro="_xll.PtreeEvent_ObjectClick" textlink="">
      <xdr:nvSpPr>
        <xdr:cNvPr id="187" name="PTObj_DNode_1_46">
          <a:extLst>
            <a:ext uri="{FF2B5EF4-FFF2-40B4-BE49-F238E27FC236}">
              <a16:creationId xmlns:a16="http://schemas.microsoft.com/office/drawing/2014/main" id="{0BE2CE41-F066-B66F-5C19-9A098FE0C219}"/>
            </a:ext>
          </a:extLst>
        </xdr:cNvPr>
        <xdr:cNvSpPr/>
      </xdr:nvSpPr>
      <xdr:spPr>
        <a:xfrm rot="-5400000">
          <a:off x="15925927" y="16292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88</xdr:row>
      <xdr:rowOff>88756</xdr:rowOff>
    </xdr:from>
    <xdr:ext cx="819391" cy="180627"/>
    <xdr:sp macro="_xll.PtreeEvent_ObjectClick" textlink="">
      <xdr:nvSpPr>
        <xdr:cNvPr id="190" name="PTObj_DBranchName_1_46">
          <a:extLst>
            <a:ext uri="{FF2B5EF4-FFF2-40B4-BE49-F238E27FC236}">
              <a16:creationId xmlns:a16="http://schemas.microsoft.com/office/drawing/2014/main" id="{201A697B-8C10-5E1F-D668-4E77989095BE}"/>
            </a:ext>
          </a:extLst>
        </xdr:cNvPr>
        <xdr:cNvSpPr txBox="1"/>
      </xdr:nvSpPr>
      <xdr:spPr>
        <a:xfrm>
          <a:off x="14476222" y="162939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92</xdr:row>
      <xdr:rowOff>86995</xdr:rowOff>
    </xdr:from>
    <xdr:to>
      <xdr:col>9</xdr:col>
      <xdr:colOff>184277</xdr:colOff>
      <xdr:row>93</xdr:row>
      <xdr:rowOff>86995</xdr:rowOff>
    </xdr:to>
    <xdr:sp macro="_xll.PtreeEvent_ObjectClick" textlink="">
      <xdr:nvSpPr>
        <xdr:cNvPr id="191" name="PTObj_DNode_1_47">
          <a:extLst>
            <a:ext uri="{FF2B5EF4-FFF2-40B4-BE49-F238E27FC236}">
              <a16:creationId xmlns:a16="http://schemas.microsoft.com/office/drawing/2014/main" id="{EC5CC6DE-1337-216D-EDA1-DB7D0BD991D5}"/>
            </a:ext>
          </a:extLst>
        </xdr:cNvPr>
        <xdr:cNvSpPr/>
      </xdr:nvSpPr>
      <xdr:spPr>
        <a:xfrm rot="-5400000">
          <a:off x="15925927" y="17028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92</xdr:row>
      <xdr:rowOff>88756</xdr:rowOff>
    </xdr:from>
    <xdr:ext cx="774956" cy="180627"/>
    <xdr:sp macro="_xll.PtreeEvent_ObjectClick" textlink="">
      <xdr:nvSpPr>
        <xdr:cNvPr id="194" name="PTObj_DBranchName_1_47">
          <a:extLst>
            <a:ext uri="{FF2B5EF4-FFF2-40B4-BE49-F238E27FC236}">
              <a16:creationId xmlns:a16="http://schemas.microsoft.com/office/drawing/2014/main" id="{EC268549-D7EB-863C-F6F9-61A4FF1E8EC3}"/>
            </a:ext>
          </a:extLst>
        </xdr:cNvPr>
        <xdr:cNvSpPr txBox="1"/>
      </xdr:nvSpPr>
      <xdr:spPr>
        <a:xfrm>
          <a:off x="14476222" y="170305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98</xdr:row>
      <xdr:rowOff>86995</xdr:rowOff>
    </xdr:from>
    <xdr:to>
      <xdr:col>8</xdr:col>
      <xdr:colOff>184277</xdr:colOff>
      <xdr:row>99</xdr:row>
      <xdr:rowOff>86995</xdr:rowOff>
    </xdr:to>
    <xdr:sp macro="_xll.PtreeEvent_ObjectClick" textlink="">
      <xdr:nvSpPr>
        <xdr:cNvPr id="195" name="PTObj_DNode_1_48">
          <a:extLst>
            <a:ext uri="{FF2B5EF4-FFF2-40B4-BE49-F238E27FC236}">
              <a16:creationId xmlns:a16="http://schemas.microsoft.com/office/drawing/2014/main" id="{87C8BCB2-1C4A-76A2-0DA2-783FCE6DD46D}"/>
            </a:ext>
          </a:extLst>
        </xdr:cNvPr>
        <xdr:cNvSpPr/>
      </xdr:nvSpPr>
      <xdr:spPr>
        <a:xfrm>
          <a:off x="14198727" y="18133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98</xdr:row>
      <xdr:rowOff>88756</xdr:rowOff>
    </xdr:from>
    <xdr:ext cx="784574" cy="180627"/>
    <xdr:sp macro="_xll.PtreeEvent_ObjectClick" textlink="">
      <xdr:nvSpPr>
        <xdr:cNvPr id="198" name="PTObj_DBranchName_1_48">
          <a:extLst>
            <a:ext uri="{FF2B5EF4-FFF2-40B4-BE49-F238E27FC236}">
              <a16:creationId xmlns:a16="http://schemas.microsoft.com/office/drawing/2014/main" id="{1903A0B4-B3F3-E606-B361-16CC1E3D9589}"/>
            </a:ext>
          </a:extLst>
        </xdr:cNvPr>
        <xdr:cNvSpPr txBox="1"/>
      </xdr:nvSpPr>
      <xdr:spPr>
        <a:xfrm>
          <a:off x="12787122" y="18135456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96</xdr:row>
      <xdr:rowOff>86995</xdr:rowOff>
    </xdr:from>
    <xdr:to>
      <xdr:col>9</xdr:col>
      <xdr:colOff>184277</xdr:colOff>
      <xdr:row>97</xdr:row>
      <xdr:rowOff>86995</xdr:rowOff>
    </xdr:to>
    <xdr:sp macro="_xll.PtreeEvent_ObjectClick" textlink="">
      <xdr:nvSpPr>
        <xdr:cNvPr id="199" name="PTObj_DNode_1_49">
          <a:extLst>
            <a:ext uri="{FF2B5EF4-FFF2-40B4-BE49-F238E27FC236}">
              <a16:creationId xmlns:a16="http://schemas.microsoft.com/office/drawing/2014/main" id="{62F2A140-BB99-320C-8CEC-005C0FC49754}"/>
            </a:ext>
          </a:extLst>
        </xdr:cNvPr>
        <xdr:cNvSpPr/>
      </xdr:nvSpPr>
      <xdr:spPr>
        <a:xfrm rot="-5400000">
          <a:off x="15925927" y="17765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96</xdr:row>
      <xdr:rowOff>88756</xdr:rowOff>
    </xdr:from>
    <xdr:ext cx="819391" cy="180627"/>
    <xdr:sp macro="_xll.PtreeEvent_ObjectClick" textlink="">
      <xdr:nvSpPr>
        <xdr:cNvPr id="202" name="PTObj_DBranchName_1_49">
          <a:extLst>
            <a:ext uri="{FF2B5EF4-FFF2-40B4-BE49-F238E27FC236}">
              <a16:creationId xmlns:a16="http://schemas.microsoft.com/office/drawing/2014/main" id="{C7CC5D13-94E3-AEA4-64FD-711088400786}"/>
            </a:ext>
          </a:extLst>
        </xdr:cNvPr>
        <xdr:cNvSpPr txBox="1"/>
      </xdr:nvSpPr>
      <xdr:spPr>
        <a:xfrm>
          <a:off x="14476222" y="177671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100</xdr:row>
      <xdr:rowOff>86995</xdr:rowOff>
    </xdr:from>
    <xdr:to>
      <xdr:col>9</xdr:col>
      <xdr:colOff>184277</xdr:colOff>
      <xdr:row>101</xdr:row>
      <xdr:rowOff>86995</xdr:rowOff>
    </xdr:to>
    <xdr:sp macro="_xll.PtreeEvent_ObjectClick" textlink="">
      <xdr:nvSpPr>
        <xdr:cNvPr id="203" name="PTObj_DNode_1_50">
          <a:extLst>
            <a:ext uri="{FF2B5EF4-FFF2-40B4-BE49-F238E27FC236}">
              <a16:creationId xmlns:a16="http://schemas.microsoft.com/office/drawing/2014/main" id="{F4D00FD1-ED07-2278-65B3-5ED82251CA07}"/>
            </a:ext>
          </a:extLst>
        </xdr:cNvPr>
        <xdr:cNvSpPr/>
      </xdr:nvSpPr>
      <xdr:spPr>
        <a:xfrm rot="-5400000">
          <a:off x="15925927" y="18501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100</xdr:row>
      <xdr:rowOff>88756</xdr:rowOff>
    </xdr:from>
    <xdr:ext cx="774956" cy="180627"/>
    <xdr:sp macro="_xll.PtreeEvent_ObjectClick" textlink="">
      <xdr:nvSpPr>
        <xdr:cNvPr id="206" name="PTObj_DBranchName_1_50">
          <a:extLst>
            <a:ext uri="{FF2B5EF4-FFF2-40B4-BE49-F238E27FC236}">
              <a16:creationId xmlns:a16="http://schemas.microsoft.com/office/drawing/2014/main" id="{18C24B44-C2F9-B8BD-BBD4-4D5A0840337F}"/>
            </a:ext>
          </a:extLst>
        </xdr:cNvPr>
        <xdr:cNvSpPr txBox="1"/>
      </xdr:nvSpPr>
      <xdr:spPr>
        <a:xfrm>
          <a:off x="14476222" y="185037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6</xdr:col>
      <xdr:colOff>127</xdr:colOff>
      <xdr:row>118</xdr:row>
      <xdr:rowOff>86995</xdr:rowOff>
    </xdr:from>
    <xdr:to>
      <xdr:col>6</xdr:col>
      <xdr:colOff>184277</xdr:colOff>
      <xdr:row>119</xdr:row>
      <xdr:rowOff>86995</xdr:rowOff>
    </xdr:to>
    <xdr:sp macro="_xll.PtreeEvent_ObjectClick" textlink="">
      <xdr:nvSpPr>
        <xdr:cNvPr id="207" name="PTObj_DNode_1_51">
          <a:extLst>
            <a:ext uri="{FF2B5EF4-FFF2-40B4-BE49-F238E27FC236}">
              <a16:creationId xmlns:a16="http://schemas.microsoft.com/office/drawing/2014/main" id="{870F6890-CFCB-1D10-4418-EAA680B7B29F}"/>
            </a:ext>
          </a:extLst>
        </xdr:cNvPr>
        <xdr:cNvSpPr/>
      </xdr:nvSpPr>
      <xdr:spPr>
        <a:xfrm>
          <a:off x="10903077" y="21816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118</xdr:row>
      <xdr:rowOff>88756</xdr:rowOff>
    </xdr:from>
    <xdr:ext cx="776943" cy="180627"/>
    <xdr:sp macro="_xll.PtreeEvent_ObjectClick" textlink="">
      <xdr:nvSpPr>
        <xdr:cNvPr id="210" name="PTObj_DBranchName_1_51">
          <a:extLst>
            <a:ext uri="{FF2B5EF4-FFF2-40B4-BE49-F238E27FC236}">
              <a16:creationId xmlns:a16="http://schemas.microsoft.com/office/drawing/2014/main" id="{1878F364-5DC6-8FA1-C34F-4253FB57FA6F}"/>
            </a:ext>
          </a:extLst>
        </xdr:cNvPr>
        <xdr:cNvSpPr txBox="1"/>
      </xdr:nvSpPr>
      <xdr:spPr>
        <a:xfrm>
          <a:off x="8894572" y="21818456"/>
          <a:ext cx="7769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 editAs="oneCell">
    <xdr:from>
      <xdr:col>7</xdr:col>
      <xdr:colOff>127</xdr:colOff>
      <xdr:row>110</xdr:row>
      <xdr:rowOff>86995</xdr:rowOff>
    </xdr:from>
    <xdr:to>
      <xdr:col>7</xdr:col>
      <xdr:colOff>184277</xdr:colOff>
      <xdr:row>111</xdr:row>
      <xdr:rowOff>86995</xdr:rowOff>
    </xdr:to>
    <xdr:sp macro="_xll.PtreeEvent_ObjectClick" textlink="">
      <xdr:nvSpPr>
        <xdr:cNvPr id="211" name="PTObj_DNode_1_52">
          <a:extLst>
            <a:ext uri="{FF2B5EF4-FFF2-40B4-BE49-F238E27FC236}">
              <a16:creationId xmlns:a16="http://schemas.microsoft.com/office/drawing/2014/main" id="{F0B65FFF-62CB-7ADD-306C-8A0349648EE2}"/>
            </a:ext>
          </a:extLst>
        </xdr:cNvPr>
        <xdr:cNvSpPr/>
      </xdr:nvSpPr>
      <xdr:spPr>
        <a:xfrm>
          <a:off x="12509627" y="20343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110</xdr:row>
      <xdr:rowOff>88756</xdr:rowOff>
    </xdr:from>
    <xdr:ext cx="363240" cy="180627"/>
    <xdr:sp macro="_xll.PtreeEvent_ObjectClick" textlink="">
      <xdr:nvSpPr>
        <xdr:cNvPr id="214" name="PTObj_DBranchName_1_52">
          <a:extLst>
            <a:ext uri="{FF2B5EF4-FFF2-40B4-BE49-F238E27FC236}">
              <a16:creationId xmlns:a16="http://schemas.microsoft.com/office/drawing/2014/main" id="{BF048695-F93E-78EC-7721-9260AFB0FC6B}"/>
            </a:ext>
          </a:extLst>
        </xdr:cNvPr>
        <xdr:cNvSpPr txBox="1"/>
      </xdr:nvSpPr>
      <xdr:spPr>
        <a:xfrm>
          <a:off x="11180572" y="20345256"/>
          <a:ext cx="36324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106</xdr:row>
      <xdr:rowOff>86995</xdr:rowOff>
    </xdr:from>
    <xdr:to>
      <xdr:col>8</xdr:col>
      <xdr:colOff>184277</xdr:colOff>
      <xdr:row>107</xdr:row>
      <xdr:rowOff>86995</xdr:rowOff>
    </xdr:to>
    <xdr:sp macro="_xll.PtreeEvent_ObjectClick" textlink="">
      <xdr:nvSpPr>
        <xdr:cNvPr id="215" name="PTObj_DNode_1_53">
          <a:extLst>
            <a:ext uri="{FF2B5EF4-FFF2-40B4-BE49-F238E27FC236}">
              <a16:creationId xmlns:a16="http://schemas.microsoft.com/office/drawing/2014/main" id="{C00EAC95-78B1-D058-90EC-A9B9903DC307}"/>
            </a:ext>
          </a:extLst>
        </xdr:cNvPr>
        <xdr:cNvSpPr/>
      </xdr:nvSpPr>
      <xdr:spPr>
        <a:xfrm>
          <a:off x="14198727" y="19606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106</xdr:row>
      <xdr:rowOff>88756</xdr:rowOff>
    </xdr:from>
    <xdr:ext cx="765531" cy="180627"/>
    <xdr:sp macro="_xll.PtreeEvent_ObjectClick" textlink="">
      <xdr:nvSpPr>
        <xdr:cNvPr id="218" name="PTObj_DBranchName_1_53">
          <a:extLst>
            <a:ext uri="{FF2B5EF4-FFF2-40B4-BE49-F238E27FC236}">
              <a16:creationId xmlns:a16="http://schemas.microsoft.com/office/drawing/2014/main" id="{A1349B1D-624A-6F74-4D4B-AE6161CC91E8}"/>
            </a:ext>
          </a:extLst>
        </xdr:cNvPr>
        <xdr:cNvSpPr txBox="1"/>
      </xdr:nvSpPr>
      <xdr:spPr>
        <a:xfrm>
          <a:off x="12787122" y="19608656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104</xdr:row>
      <xdr:rowOff>86995</xdr:rowOff>
    </xdr:from>
    <xdr:to>
      <xdr:col>9</xdr:col>
      <xdr:colOff>184277</xdr:colOff>
      <xdr:row>105</xdr:row>
      <xdr:rowOff>86995</xdr:rowOff>
    </xdr:to>
    <xdr:sp macro="_xll.PtreeEvent_ObjectClick" textlink="">
      <xdr:nvSpPr>
        <xdr:cNvPr id="219" name="PTObj_DNode_1_54">
          <a:extLst>
            <a:ext uri="{FF2B5EF4-FFF2-40B4-BE49-F238E27FC236}">
              <a16:creationId xmlns:a16="http://schemas.microsoft.com/office/drawing/2014/main" id="{98BB1388-8E9D-109F-9B80-86246EFB589A}"/>
            </a:ext>
          </a:extLst>
        </xdr:cNvPr>
        <xdr:cNvSpPr/>
      </xdr:nvSpPr>
      <xdr:spPr>
        <a:xfrm rot="-5400000">
          <a:off x="15925927" y="19238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104</xdr:row>
      <xdr:rowOff>88756</xdr:rowOff>
    </xdr:from>
    <xdr:ext cx="819391" cy="180627"/>
    <xdr:sp macro="_xll.PtreeEvent_ObjectClick" textlink="">
      <xdr:nvSpPr>
        <xdr:cNvPr id="222" name="PTObj_DBranchName_1_54">
          <a:extLst>
            <a:ext uri="{FF2B5EF4-FFF2-40B4-BE49-F238E27FC236}">
              <a16:creationId xmlns:a16="http://schemas.microsoft.com/office/drawing/2014/main" id="{DFA53E58-A71D-B929-2231-03057345480A}"/>
            </a:ext>
          </a:extLst>
        </xdr:cNvPr>
        <xdr:cNvSpPr txBox="1"/>
      </xdr:nvSpPr>
      <xdr:spPr>
        <a:xfrm>
          <a:off x="14476222" y="192403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108</xdr:row>
      <xdr:rowOff>86995</xdr:rowOff>
    </xdr:from>
    <xdr:to>
      <xdr:col>9</xdr:col>
      <xdr:colOff>184277</xdr:colOff>
      <xdr:row>109</xdr:row>
      <xdr:rowOff>86995</xdr:rowOff>
    </xdr:to>
    <xdr:sp macro="_xll.PtreeEvent_ObjectClick" textlink="">
      <xdr:nvSpPr>
        <xdr:cNvPr id="223" name="PTObj_DNode_1_55">
          <a:extLst>
            <a:ext uri="{FF2B5EF4-FFF2-40B4-BE49-F238E27FC236}">
              <a16:creationId xmlns:a16="http://schemas.microsoft.com/office/drawing/2014/main" id="{DAFC9EC8-147B-D0AC-4F53-87C4128F3214}"/>
            </a:ext>
          </a:extLst>
        </xdr:cNvPr>
        <xdr:cNvSpPr/>
      </xdr:nvSpPr>
      <xdr:spPr>
        <a:xfrm rot="-5400000">
          <a:off x="15925927" y="19975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108</xdr:row>
      <xdr:rowOff>88756</xdr:rowOff>
    </xdr:from>
    <xdr:ext cx="774956" cy="180627"/>
    <xdr:sp macro="_xll.PtreeEvent_ObjectClick" textlink="">
      <xdr:nvSpPr>
        <xdr:cNvPr id="226" name="PTObj_DBranchName_1_55">
          <a:extLst>
            <a:ext uri="{FF2B5EF4-FFF2-40B4-BE49-F238E27FC236}">
              <a16:creationId xmlns:a16="http://schemas.microsoft.com/office/drawing/2014/main" id="{50866AAD-DE4F-21E3-41D5-5B7F3537BB0B}"/>
            </a:ext>
          </a:extLst>
        </xdr:cNvPr>
        <xdr:cNvSpPr txBox="1"/>
      </xdr:nvSpPr>
      <xdr:spPr>
        <a:xfrm>
          <a:off x="14476222" y="199769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114</xdr:row>
      <xdr:rowOff>86995</xdr:rowOff>
    </xdr:from>
    <xdr:to>
      <xdr:col>8</xdr:col>
      <xdr:colOff>184277</xdr:colOff>
      <xdr:row>115</xdr:row>
      <xdr:rowOff>86995</xdr:rowOff>
    </xdr:to>
    <xdr:sp macro="_xll.PtreeEvent_ObjectClick" textlink="">
      <xdr:nvSpPr>
        <xdr:cNvPr id="227" name="PTObj_DNode_1_56">
          <a:extLst>
            <a:ext uri="{FF2B5EF4-FFF2-40B4-BE49-F238E27FC236}">
              <a16:creationId xmlns:a16="http://schemas.microsoft.com/office/drawing/2014/main" id="{A8314D83-3629-A3B0-804D-71562695D66F}"/>
            </a:ext>
          </a:extLst>
        </xdr:cNvPr>
        <xdr:cNvSpPr/>
      </xdr:nvSpPr>
      <xdr:spPr>
        <a:xfrm>
          <a:off x="14198727" y="21080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114</xdr:row>
      <xdr:rowOff>88756</xdr:rowOff>
    </xdr:from>
    <xdr:ext cx="784574" cy="180627"/>
    <xdr:sp macro="_xll.PtreeEvent_ObjectClick" textlink="">
      <xdr:nvSpPr>
        <xdr:cNvPr id="230" name="PTObj_DBranchName_1_56">
          <a:extLst>
            <a:ext uri="{FF2B5EF4-FFF2-40B4-BE49-F238E27FC236}">
              <a16:creationId xmlns:a16="http://schemas.microsoft.com/office/drawing/2014/main" id="{8779F4EE-124E-9FF1-2EBB-E6FC06922AC0}"/>
            </a:ext>
          </a:extLst>
        </xdr:cNvPr>
        <xdr:cNvSpPr txBox="1"/>
      </xdr:nvSpPr>
      <xdr:spPr>
        <a:xfrm>
          <a:off x="12787122" y="21081856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112</xdr:row>
      <xdr:rowOff>86995</xdr:rowOff>
    </xdr:from>
    <xdr:to>
      <xdr:col>9</xdr:col>
      <xdr:colOff>184277</xdr:colOff>
      <xdr:row>113</xdr:row>
      <xdr:rowOff>86995</xdr:rowOff>
    </xdr:to>
    <xdr:sp macro="_xll.PtreeEvent_ObjectClick" textlink="">
      <xdr:nvSpPr>
        <xdr:cNvPr id="231" name="PTObj_DNode_1_57">
          <a:extLst>
            <a:ext uri="{FF2B5EF4-FFF2-40B4-BE49-F238E27FC236}">
              <a16:creationId xmlns:a16="http://schemas.microsoft.com/office/drawing/2014/main" id="{98364563-6F90-499A-AB0F-268F8BFADD9E}"/>
            </a:ext>
          </a:extLst>
        </xdr:cNvPr>
        <xdr:cNvSpPr/>
      </xdr:nvSpPr>
      <xdr:spPr>
        <a:xfrm rot="-5400000">
          <a:off x="15925927" y="20711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112</xdr:row>
      <xdr:rowOff>88756</xdr:rowOff>
    </xdr:from>
    <xdr:ext cx="819391" cy="180627"/>
    <xdr:sp macro="_xll.PtreeEvent_ObjectClick" textlink="">
      <xdr:nvSpPr>
        <xdr:cNvPr id="234" name="PTObj_DBranchName_1_57">
          <a:extLst>
            <a:ext uri="{FF2B5EF4-FFF2-40B4-BE49-F238E27FC236}">
              <a16:creationId xmlns:a16="http://schemas.microsoft.com/office/drawing/2014/main" id="{DAB4436D-DEFA-A3E6-5667-4EB598D31A53}"/>
            </a:ext>
          </a:extLst>
        </xdr:cNvPr>
        <xdr:cNvSpPr txBox="1"/>
      </xdr:nvSpPr>
      <xdr:spPr>
        <a:xfrm>
          <a:off x="14476222" y="207135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116</xdr:row>
      <xdr:rowOff>86995</xdr:rowOff>
    </xdr:from>
    <xdr:to>
      <xdr:col>9</xdr:col>
      <xdr:colOff>184277</xdr:colOff>
      <xdr:row>117</xdr:row>
      <xdr:rowOff>86995</xdr:rowOff>
    </xdr:to>
    <xdr:sp macro="_xll.PtreeEvent_ObjectClick" textlink="">
      <xdr:nvSpPr>
        <xdr:cNvPr id="235" name="PTObj_DNode_1_58">
          <a:extLst>
            <a:ext uri="{FF2B5EF4-FFF2-40B4-BE49-F238E27FC236}">
              <a16:creationId xmlns:a16="http://schemas.microsoft.com/office/drawing/2014/main" id="{219B386C-8483-0776-F4A7-9580E5C77931}"/>
            </a:ext>
          </a:extLst>
        </xdr:cNvPr>
        <xdr:cNvSpPr/>
      </xdr:nvSpPr>
      <xdr:spPr>
        <a:xfrm rot="-5400000">
          <a:off x="15925927" y="21448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116</xdr:row>
      <xdr:rowOff>88756</xdr:rowOff>
    </xdr:from>
    <xdr:ext cx="774956" cy="180627"/>
    <xdr:sp macro="_xll.PtreeEvent_ObjectClick" textlink="">
      <xdr:nvSpPr>
        <xdr:cNvPr id="238" name="PTObj_DBranchName_1_58">
          <a:extLst>
            <a:ext uri="{FF2B5EF4-FFF2-40B4-BE49-F238E27FC236}">
              <a16:creationId xmlns:a16="http://schemas.microsoft.com/office/drawing/2014/main" id="{4208B017-EDE8-314E-E58F-0B2AB281FAEF}"/>
            </a:ext>
          </a:extLst>
        </xdr:cNvPr>
        <xdr:cNvSpPr txBox="1"/>
      </xdr:nvSpPr>
      <xdr:spPr>
        <a:xfrm>
          <a:off x="14476222" y="214501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126</xdr:row>
      <xdr:rowOff>86995</xdr:rowOff>
    </xdr:from>
    <xdr:to>
      <xdr:col>7</xdr:col>
      <xdr:colOff>184277</xdr:colOff>
      <xdr:row>127</xdr:row>
      <xdr:rowOff>86995</xdr:rowOff>
    </xdr:to>
    <xdr:sp macro="_xll.PtreeEvent_ObjectClick" textlink="">
      <xdr:nvSpPr>
        <xdr:cNvPr id="239" name="PTObj_DNode_1_59">
          <a:extLst>
            <a:ext uri="{FF2B5EF4-FFF2-40B4-BE49-F238E27FC236}">
              <a16:creationId xmlns:a16="http://schemas.microsoft.com/office/drawing/2014/main" id="{3BB06772-F123-8165-5B24-DE246F547ABF}"/>
            </a:ext>
          </a:extLst>
        </xdr:cNvPr>
        <xdr:cNvSpPr/>
      </xdr:nvSpPr>
      <xdr:spPr>
        <a:xfrm>
          <a:off x="12509627" y="23289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126</xdr:row>
      <xdr:rowOff>88756</xdr:rowOff>
    </xdr:from>
    <xdr:ext cx="219676" cy="180627"/>
    <xdr:sp macro="_xll.PtreeEvent_ObjectClick" textlink="">
      <xdr:nvSpPr>
        <xdr:cNvPr id="242" name="PTObj_DBranchName_1_59">
          <a:extLst>
            <a:ext uri="{FF2B5EF4-FFF2-40B4-BE49-F238E27FC236}">
              <a16:creationId xmlns:a16="http://schemas.microsoft.com/office/drawing/2014/main" id="{990B015A-2637-D779-0C55-B14AF01BD46C}"/>
            </a:ext>
          </a:extLst>
        </xdr:cNvPr>
        <xdr:cNvSpPr txBox="1"/>
      </xdr:nvSpPr>
      <xdr:spPr>
        <a:xfrm>
          <a:off x="11180572" y="23291656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122</xdr:row>
      <xdr:rowOff>86995</xdr:rowOff>
    </xdr:from>
    <xdr:to>
      <xdr:col>8</xdr:col>
      <xdr:colOff>184277</xdr:colOff>
      <xdr:row>123</xdr:row>
      <xdr:rowOff>86995</xdr:rowOff>
    </xdr:to>
    <xdr:sp macro="_xll.PtreeEvent_ObjectClick" textlink="">
      <xdr:nvSpPr>
        <xdr:cNvPr id="243" name="PTObj_DNode_1_60">
          <a:extLst>
            <a:ext uri="{FF2B5EF4-FFF2-40B4-BE49-F238E27FC236}">
              <a16:creationId xmlns:a16="http://schemas.microsoft.com/office/drawing/2014/main" id="{A0714A86-6911-6A19-F50F-63DDE4B7242E}"/>
            </a:ext>
          </a:extLst>
        </xdr:cNvPr>
        <xdr:cNvSpPr/>
      </xdr:nvSpPr>
      <xdr:spPr>
        <a:xfrm>
          <a:off x="14198727" y="22553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122</xdr:row>
      <xdr:rowOff>88756</xdr:rowOff>
    </xdr:from>
    <xdr:ext cx="765531" cy="180627"/>
    <xdr:sp macro="_xll.PtreeEvent_ObjectClick" textlink="">
      <xdr:nvSpPr>
        <xdr:cNvPr id="246" name="PTObj_DBranchName_1_60">
          <a:extLst>
            <a:ext uri="{FF2B5EF4-FFF2-40B4-BE49-F238E27FC236}">
              <a16:creationId xmlns:a16="http://schemas.microsoft.com/office/drawing/2014/main" id="{196D0E50-3F39-3E00-CFE1-019BDE487738}"/>
            </a:ext>
          </a:extLst>
        </xdr:cNvPr>
        <xdr:cNvSpPr txBox="1"/>
      </xdr:nvSpPr>
      <xdr:spPr>
        <a:xfrm>
          <a:off x="12787122" y="22555056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120</xdr:row>
      <xdr:rowOff>86995</xdr:rowOff>
    </xdr:from>
    <xdr:to>
      <xdr:col>9</xdr:col>
      <xdr:colOff>184277</xdr:colOff>
      <xdr:row>121</xdr:row>
      <xdr:rowOff>86995</xdr:rowOff>
    </xdr:to>
    <xdr:sp macro="_xll.PtreeEvent_ObjectClick" textlink="">
      <xdr:nvSpPr>
        <xdr:cNvPr id="247" name="PTObj_DNode_1_61">
          <a:extLst>
            <a:ext uri="{FF2B5EF4-FFF2-40B4-BE49-F238E27FC236}">
              <a16:creationId xmlns:a16="http://schemas.microsoft.com/office/drawing/2014/main" id="{04C087E4-8A22-99E6-531B-4ABB907E58F3}"/>
            </a:ext>
          </a:extLst>
        </xdr:cNvPr>
        <xdr:cNvSpPr/>
      </xdr:nvSpPr>
      <xdr:spPr>
        <a:xfrm rot="-5400000">
          <a:off x="15925927" y="22184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120</xdr:row>
      <xdr:rowOff>88756</xdr:rowOff>
    </xdr:from>
    <xdr:ext cx="819391" cy="180627"/>
    <xdr:sp macro="_xll.PtreeEvent_ObjectClick" textlink="">
      <xdr:nvSpPr>
        <xdr:cNvPr id="250" name="PTObj_DBranchName_1_61">
          <a:extLst>
            <a:ext uri="{FF2B5EF4-FFF2-40B4-BE49-F238E27FC236}">
              <a16:creationId xmlns:a16="http://schemas.microsoft.com/office/drawing/2014/main" id="{61F984EF-1D9B-B458-1FC4-98A390CA3A9D}"/>
            </a:ext>
          </a:extLst>
        </xdr:cNvPr>
        <xdr:cNvSpPr txBox="1"/>
      </xdr:nvSpPr>
      <xdr:spPr>
        <a:xfrm>
          <a:off x="14476222" y="221867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124</xdr:row>
      <xdr:rowOff>86995</xdr:rowOff>
    </xdr:from>
    <xdr:to>
      <xdr:col>9</xdr:col>
      <xdr:colOff>184277</xdr:colOff>
      <xdr:row>125</xdr:row>
      <xdr:rowOff>86995</xdr:rowOff>
    </xdr:to>
    <xdr:sp macro="_xll.PtreeEvent_ObjectClick" textlink="">
      <xdr:nvSpPr>
        <xdr:cNvPr id="251" name="PTObj_DNode_1_62">
          <a:extLst>
            <a:ext uri="{FF2B5EF4-FFF2-40B4-BE49-F238E27FC236}">
              <a16:creationId xmlns:a16="http://schemas.microsoft.com/office/drawing/2014/main" id="{FB31CAF4-F3F4-9664-104E-A64934C3D6C9}"/>
            </a:ext>
          </a:extLst>
        </xdr:cNvPr>
        <xdr:cNvSpPr/>
      </xdr:nvSpPr>
      <xdr:spPr>
        <a:xfrm rot="-5400000">
          <a:off x="15925927" y="22921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124</xdr:row>
      <xdr:rowOff>88756</xdr:rowOff>
    </xdr:from>
    <xdr:ext cx="774956" cy="180627"/>
    <xdr:sp macro="_xll.PtreeEvent_ObjectClick" textlink="">
      <xdr:nvSpPr>
        <xdr:cNvPr id="254" name="PTObj_DBranchName_1_62">
          <a:extLst>
            <a:ext uri="{FF2B5EF4-FFF2-40B4-BE49-F238E27FC236}">
              <a16:creationId xmlns:a16="http://schemas.microsoft.com/office/drawing/2014/main" id="{B7AA33E3-1755-9CF4-5555-84319BEE9BE0}"/>
            </a:ext>
          </a:extLst>
        </xdr:cNvPr>
        <xdr:cNvSpPr txBox="1"/>
      </xdr:nvSpPr>
      <xdr:spPr>
        <a:xfrm>
          <a:off x="14476222" y="229233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130</xdr:row>
      <xdr:rowOff>86995</xdr:rowOff>
    </xdr:from>
    <xdr:to>
      <xdr:col>8</xdr:col>
      <xdr:colOff>184277</xdr:colOff>
      <xdr:row>131</xdr:row>
      <xdr:rowOff>86995</xdr:rowOff>
    </xdr:to>
    <xdr:sp macro="_xll.PtreeEvent_ObjectClick" textlink="">
      <xdr:nvSpPr>
        <xdr:cNvPr id="255" name="PTObj_DNode_1_63">
          <a:extLst>
            <a:ext uri="{FF2B5EF4-FFF2-40B4-BE49-F238E27FC236}">
              <a16:creationId xmlns:a16="http://schemas.microsoft.com/office/drawing/2014/main" id="{28FD3F70-50CA-0601-D598-EAD8BA872AAA}"/>
            </a:ext>
          </a:extLst>
        </xdr:cNvPr>
        <xdr:cNvSpPr/>
      </xdr:nvSpPr>
      <xdr:spPr>
        <a:xfrm>
          <a:off x="14198727" y="24026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130</xdr:row>
      <xdr:rowOff>88756</xdr:rowOff>
    </xdr:from>
    <xdr:ext cx="784574" cy="180627"/>
    <xdr:sp macro="_xll.PtreeEvent_ObjectClick" textlink="">
      <xdr:nvSpPr>
        <xdr:cNvPr id="258" name="PTObj_DBranchName_1_63">
          <a:extLst>
            <a:ext uri="{FF2B5EF4-FFF2-40B4-BE49-F238E27FC236}">
              <a16:creationId xmlns:a16="http://schemas.microsoft.com/office/drawing/2014/main" id="{EFE9CE4A-517B-2F6C-2A97-DF0E59CBC280}"/>
            </a:ext>
          </a:extLst>
        </xdr:cNvPr>
        <xdr:cNvSpPr txBox="1"/>
      </xdr:nvSpPr>
      <xdr:spPr>
        <a:xfrm>
          <a:off x="12787122" y="24028256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128</xdr:row>
      <xdr:rowOff>86995</xdr:rowOff>
    </xdr:from>
    <xdr:to>
      <xdr:col>9</xdr:col>
      <xdr:colOff>184277</xdr:colOff>
      <xdr:row>129</xdr:row>
      <xdr:rowOff>86995</xdr:rowOff>
    </xdr:to>
    <xdr:sp macro="_xll.PtreeEvent_ObjectClick" textlink="">
      <xdr:nvSpPr>
        <xdr:cNvPr id="259" name="PTObj_DNode_1_64">
          <a:extLst>
            <a:ext uri="{FF2B5EF4-FFF2-40B4-BE49-F238E27FC236}">
              <a16:creationId xmlns:a16="http://schemas.microsoft.com/office/drawing/2014/main" id="{0B53D237-482A-57C3-E2F4-457301CE5F4D}"/>
            </a:ext>
          </a:extLst>
        </xdr:cNvPr>
        <xdr:cNvSpPr/>
      </xdr:nvSpPr>
      <xdr:spPr>
        <a:xfrm rot="-5400000">
          <a:off x="15925927" y="23658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128</xdr:row>
      <xdr:rowOff>88756</xdr:rowOff>
    </xdr:from>
    <xdr:ext cx="819391" cy="180627"/>
    <xdr:sp macro="_xll.PtreeEvent_ObjectClick" textlink="">
      <xdr:nvSpPr>
        <xdr:cNvPr id="262" name="PTObj_DBranchName_1_64">
          <a:extLst>
            <a:ext uri="{FF2B5EF4-FFF2-40B4-BE49-F238E27FC236}">
              <a16:creationId xmlns:a16="http://schemas.microsoft.com/office/drawing/2014/main" id="{E9F43745-FDF4-C806-1A4C-4B1FEA6F1EB5}"/>
            </a:ext>
          </a:extLst>
        </xdr:cNvPr>
        <xdr:cNvSpPr txBox="1"/>
      </xdr:nvSpPr>
      <xdr:spPr>
        <a:xfrm>
          <a:off x="14476222" y="236599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132</xdr:row>
      <xdr:rowOff>86995</xdr:rowOff>
    </xdr:from>
    <xdr:to>
      <xdr:col>9</xdr:col>
      <xdr:colOff>184277</xdr:colOff>
      <xdr:row>133</xdr:row>
      <xdr:rowOff>86995</xdr:rowOff>
    </xdr:to>
    <xdr:sp macro="_xll.PtreeEvent_ObjectClick" textlink="">
      <xdr:nvSpPr>
        <xdr:cNvPr id="263" name="PTObj_DNode_1_65">
          <a:extLst>
            <a:ext uri="{FF2B5EF4-FFF2-40B4-BE49-F238E27FC236}">
              <a16:creationId xmlns:a16="http://schemas.microsoft.com/office/drawing/2014/main" id="{3EFBB2AC-4988-B7FA-5EC3-AD926D6592B3}"/>
            </a:ext>
          </a:extLst>
        </xdr:cNvPr>
        <xdr:cNvSpPr/>
      </xdr:nvSpPr>
      <xdr:spPr>
        <a:xfrm rot="-5400000">
          <a:off x="15925927" y="24394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132</xdr:row>
      <xdr:rowOff>88756</xdr:rowOff>
    </xdr:from>
    <xdr:ext cx="774956" cy="180627"/>
    <xdr:sp macro="_xll.PtreeEvent_ObjectClick" textlink="">
      <xdr:nvSpPr>
        <xdr:cNvPr id="266" name="PTObj_DBranchName_1_65">
          <a:extLst>
            <a:ext uri="{FF2B5EF4-FFF2-40B4-BE49-F238E27FC236}">
              <a16:creationId xmlns:a16="http://schemas.microsoft.com/office/drawing/2014/main" id="{9492362B-499D-C78D-FD0F-C9B7D059B3B7}"/>
            </a:ext>
          </a:extLst>
        </xdr:cNvPr>
        <xdr:cNvSpPr txBox="1"/>
      </xdr:nvSpPr>
      <xdr:spPr>
        <a:xfrm>
          <a:off x="14476222" y="243965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4</xdr:col>
      <xdr:colOff>127</xdr:colOff>
      <xdr:row>198</xdr:row>
      <xdr:rowOff>86996</xdr:rowOff>
    </xdr:from>
    <xdr:to>
      <xdr:col>4</xdr:col>
      <xdr:colOff>184277</xdr:colOff>
      <xdr:row>199</xdr:row>
      <xdr:rowOff>86996</xdr:rowOff>
    </xdr:to>
    <xdr:sp macro="_xll.PtreeEvent_ObjectClick" textlink="">
      <xdr:nvSpPr>
        <xdr:cNvPr id="267" name="PTObj_DNode_1_66">
          <a:extLst>
            <a:ext uri="{FF2B5EF4-FFF2-40B4-BE49-F238E27FC236}">
              <a16:creationId xmlns:a16="http://schemas.microsoft.com/office/drawing/2014/main" id="{4714785D-75EF-EF21-A996-DE5D005DC2CA}"/>
            </a:ext>
          </a:extLst>
        </xdr:cNvPr>
        <xdr:cNvSpPr/>
      </xdr:nvSpPr>
      <xdr:spPr>
        <a:xfrm>
          <a:off x="6350127" y="36548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277622</xdr:colOff>
      <xdr:row>198</xdr:row>
      <xdr:rowOff>88757</xdr:rowOff>
    </xdr:from>
    <xdr:ext cx="372730" cy="180627"/>
    <xdr:sp macro="_xll.PtreeEvent_ObjectClick" textlink="">
      <xdr:nvSpPr>
        <xdr:cNvPr id="270" name="PTObj_DBranchName_1_66">
          <a:extLst>
            <a:ext uri="{FF2B5EF4-FFF2-40B4-BE49-F238E27FC236}">
              <a16:creationId xmlns:a16="http://schemas.microsoft.com/office/drawing/2014/main" id="{59EA4687-308D-FC8C-D0F5-9D3C018CF7E0}"/>
            </a:ext>
          </a:extLst>
        </xdr:cNvPr>
        <xdr:cNvSpPr txBox="1"/>
      </xdr:nvSpPr>
      <xdr:spPr>
        <a:xfrm>
          <a:off x="4195572" y="36550457"/>
          <a:ext cx="372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upfront</a:t>
          </a:r>
        </a:p>
      </xdr:txBody>
    </xdr:sp>
    <xdr:clientData/>
  </xdr:oneCellAnchor>
  <xdr:twoCellAnchor editAs="oneCell">
    <xdr:from>
      <xdr:col>5</xdr:col>
      <xdr:colOff>127</xdr:colOff>
      <xdr:row>166</xdr:row>
      <xdr:rowOff>86996</xdr:rowOff>
    </xdr:from>
    <xdr:to>
      <xdr:col>5</xdr:col>
      <xdr:colOff>184277</xdr:colOff>
      <xdr:row>167</xdr:row>
      <xdr:rowOff>86996</xdr:rowOff>
    </xdr:to>
    <xdr:sp macro="_xll.PtreeEvent_ObjectClick" textlink="">
      <xdr:nvSpPr>
        <xdr:cNvPr id="271" name="PTObj_DNode_1_67">
          <a:extLst>
            <a:ext uri="{FF2B5EF4-FFF2-40B4-BE49-F238E27FC236}">
              <a16:creationId xmlns:a16="http://schemas.microsoft.com/office/drawing/2014/main" id="{CBD5B552-9127-DFDD-F882-E6CE68E35199}"/>
            </a:ext>
          </a:extLst>
        </xdr:cNvPr>
        <xdr:cNvSpPr/>
      </xdr:nvSpPr>
      <xdr:spPr>
        <a:xfrm>
          <a:off x="8617077" y="30655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166</xdr:row>
      <xdr:rowOff>88757</xdr:rowOff>
    </xdr:from>
    <xdr:ext cx="516552" cy="180627"/>
    <xdr:sp macro="_xll.PtreeEvent_ObjectClick" textlink="">
      <xdr:nvSpPr>
        <xdr:cNvPr id="274" name="PTObj_DBranchName_1_67">
          <a:extLst>
            <a:ext uri="{FF2B5EF4-FFF2-40B4-BE49-F238E27FC236}">
              <a16:creationId xmlns:a16="http://schemas.microsoft.com/office/drawing/2014/main" id="{05BE4085-BB95-0D2B-895E-BE1882803C24}"/>
            </a:ext>
          </a:extLst>
        </xdr:cNvPr>
        <xdr:cNvSpPr txBox="1"/>
      </xdr:nvSpPr>
      <xdr:spPr>
        <a:xfrm>
          <a:off x="6627622" y="30657657"/>
          <a:ext cx="5165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sunny days</a:t>
          </a:r>
        </a:p>
      </xdr:txBody>
    </xdr:sp>
    <xdr:clientData/>
  </xdr:oneCellAnchor>
  <xdr:twoCellAnchor editAs="oneCell">
    <xdr:from>
      <xdr:col>6</xdr:col>
      <xdr:colOff>127</xdr:colOff>
      <xdr:row>150</xdr:row>
      <xdr:rowOff>86996</xdr:rowOff>
    </xdr:from>
    <xdr:to>
      <xdr:col>6</xdr:col>
      <xdr:colOff>184277</xdr:colOff>
      <xdr:row>151</xdr:row>
      <xdr:rowOff>86996</xdr:rowOff>
    </xdr:to>
    <xdr:sp macro="_xll.PtreeEvent_ObjectClick" textlink="">
      <xdr:nvSpPr>
        <xdr:cNvPr id="275" name="PTObj_DNode_1_68">
          <a:extLst>
            <a:ext uri="{FF2B5EF4-FFF2-40B4-BE49-F238E27FC236}">
              <a16:creationId xmlns:a16="http://schemas.microsoft.com/office/drawing/2014/main" id="{A1E0DE58-1C85-259F-1253-AE41E396DD76}"/>
            </a:ext>
          </a:extLst>
        </xdr:cNvPr>
        <xdr:cNvSpPr/>
      </xdr:nvSpPr>
      <xdr:spPr>
        <a:xfrm>
          <a:off x="10903077" y="27709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150</xdr:row>
      <xdr:rowOff>88757</xdr:rowOff>
    </xdr:from>
    <xdr:ext cx="805605" cy="180627"/>
    <xdr:sp macro="_xll.PtreeEvent_ObjectClick" textlink="">
      <xdr:nvSpPr>
        <xdr:cNvPr id="278" name="PTObj_DBranchName_1_68">
          <a:extLst>
            <a:ext uri="{FF2B5EF4-FFF2-40B4-BE49-F238E27FC236}">
              <a16:creationId xmlns:a16="http://schemas.microsoft.com/office/drawing/2014/main" id="{D0AE1377-FA35-621D-07A3-340FE69AD36A}"/>
            </a:ext>
          </a:extLst>
        </xdr:cNvPr>
        <xdr:cNvSpPr txBox="1"/>
      </xdr:nvSpPr>
      <xdr:spPr>
        <a:xfrm>
          <a:off x="8894572" y="27711257"/>
          <a:ext cx="80560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7</xdr:col>
      <xdr:colOff>127</xdr:colOff>
      <xdr:row>142</xdr:row>
      <xdr:rowOff>86996</xdr:rowOff>
    </xdr:from>
    <xdr:to>
      <xdr:col>7</xdr:col>
      <xdr:colOff>184277</xdr:colOff>
      <xdr:row>143</xdr:row>
      <xdr:rowOff>86996</xdr:rowOff>
    </xdr:to>
    <xdr:sp macro="_xll.PtreeEvent_ObjectClick" textlink="">
      <xdr:nvSpPr>
        <xdr:cNvPr id="279" name="PTObj_DNode_1_69">
          <a:extLst>
            <a:ext uri="{FF2B5EF4-FFF2-40B4-BE49-F238E27FC236}">
              <a16:creationId xmlns:a16="http://schemas.microsoft.com/office/drawing/2014/main" id="{19A32E6F-2CB9-E325-2FC9-91913F0239E3}"/>
            </a:ext>
          </a:extLst>
        </xdr:cNvPr>
        <xdr:cNvSpPr/>
      </xdr:nvSpPr>
      <xdr:spPr>
        <a:xfrm>
          <a:off x="12509627" y="26236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142</xdr:row>
      <xdr:rowOff>88757</xdr:rowOff>
    </xdr:from>
    <xdr:ext cx="363240" cy="180627"/>
    <xdr:sp macro="_xll.PtreeEvent_ObjectClick" textlink="">
      <xdr:nvSpPr>
        <xdr:cNvPr id="282" name="PTObj_DBranchName_1_69">
          <a:extLst>
            <a:ext uri="{FF2B5EF4-FFF2-40B4-BE49-F238E27FC236}">
              <a16:creationId xmlns:a16="http://schemas.microsoft.com/office/drawing/2014/main" id="{B473E932-1916-F973-61C3-D538B4CB1BE3}"/>
            </a:ext>
          </a:extLst>
        </xdr:cNvPr>
        <xdr:cNvSpPr txBox="1"/>
      </xdr:nvSpPr>
      <xdr:spPr>
        <a:xfrm>
          <a:off x="11180572" y="26238057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138</xdr:row>
      <xdr:rowOff>86995</xdr:rowOff>
    </xdr:from>
    <xdr:to>
      <xdr:col>8</xdr:col>
      <xdr:colOff>184277</xdr:colOff>
      <xdr:row>139</xdr:row>
      <xdr:rowOff>86995</xdr:rowOff>
    </xdr:to>
    <xdr:sp macro="_xll.PtreeEvent_ObjectClick" textlink="">
      <xdr:nvSpPr>
        <xdr:cNvPr id="283" name="PTObj_DNode_1_70">
          <a:extLst>
            <a:ext uri="{FF2B5EF4-FFF2-40B4-BE49-F238E27FC236}">
              <a16:creationId xmlns:a16="http://schemas.microsoft.com/office/drawing/2014/main" id="{621FA475-B48E-E754-C90B-4DE72240E514}"/>
            </a:ext>
          </a:extLst>
        </xdr:cNvPr>
        <xdr:cNvSpPr/>
      </xdr:nvSpPr>
      <xdr:spPr>
        <a:xfrm>
          <a:off x="14198727" y="25499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138</xdr:row>
      <xdr:rowOff>88756</xdr:rowOff>
    </xdr:from>
    <xdr:ext cx="765531" cy="180627"/>
    <xdr:sp macro="_xll.PtreeEvent_ObjectClick" textlink="">
      <xdr:nvSpPr>
        <xdr:cNvPr id="286" name="PTObj_DBranchName_1_70">
          <a:extLst>
            <a:ext uri="{FF2B5EF4-FFF2-40B4-BE49-F238E27FC236}">
              <a16:creationId xmlns:a16="http://schemas.microsoft.com/office/drawing/2014/main" id="{24A4D5D1-2AD1-656C-099A-17AFC8EAE806}"/>
            </a:ext>
          </a:extLst>
        </xdr:cNvPr>
        <xdr:cNvSpPr txBox="1"/>
      </xdr:nvSpPr>
      <xdr:spPr>
        <a:xfrm>
          <a:off x="12787122" y="25501456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136</xdr:row>
      <xdr:rowOff>86995</xdr:rowOff>
    </xdr:from>
    <xdr:to>
      <xdr:col>9</xdr:col>
      <xdr:colOff>184277</xdr:colOff>
      <xdr:row>137</xdr:row>
      <xdr:rowOff>86995</xdr:rowOff>
    </xdr:to>
    <xdr:sp macro="_xll.PtreeEvent_ObjectClick" textlink="">
      <xdr:nvSpPr>
        <xdr:cNvPr id="287" name="PTObj_DNode_1_71">
          <a:extLst>
            <a:ext uri="{FF2B5EF4-FFF2-40B4-BE49-F238E27FC236}">
              <a16:creationId xmlns:a16="http://schemas.microsoft.com/office/drawing/2014/main" id="{A6B2834F-40C0-B858-6919-36AE88EFF1AB}"/>
            </a:ext>
          </a:extLst>
        </xdr:cNvPr>
        <xdr:cNvSpPr/>
      </xdr:nvSpPr>
      <xdr:spPr>
        <a:xfrm rot="-5400000">
          <a:off x="15925927" y="25131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136</xdr:row>
      <xdr:rowOff>88756</xdr:rowOff>
    </xdr:from>
    <xdr:ext cx="819391" cy="180627"/>
    <xdr:sp macro="_xll.PtreeEvent_ObjectClick" textlink="">
      <xdr:nvSpPr>
        <xdr:cNvPr id="290" name="PTObj_DBranchName_1_71">
          <a:extLst>
            <a:ext uri="{FF2B5EF4-FFF2-40B4-BE49-F238E27FC236}">
              <a16:creationId xmlns:a16="http://schemas.microsoft.com/office/drawing/2014/main" id="{6E237F2C-6DEA-03A0-0CF4-B338022F36AC}"/>
            </a:ext>
          </a:extLst>
        </xdr:cNvPr>
        <xdr:cNvSpPr txBox="1"/>
      </xdr:nvSpPr>
      <xdr:spPr>
        <a:xfrm>
          <a:off x="14476222" y="25133156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126</xdr:colOff>
      <xdr:row>140</xdr:row>
      <xdr:rowOff>86996</xdr:rowOff>
    </xdr:from>
    <xdr:to>
      <xdr:col>9</xdr:col>
      <xdr:colOff>184277</xdr:colOff>
      <xdr:row>141</xdr:row>
      <xdr:rowOff>86996</xdr:rowOff>
    </xdr:to>
    <xdr:sp macro="_xll.PtreeEvent_ObjectClick" textlink="">
      <xdr:nvSpPr>
        <xdr:cNvPr id="291" name="PTObj_DNode_1_72">
          <a:extLst>
            <a:ext uri="{FF2B5EF4-FFF2-40B4-BE49-F238E27FC236}">
              <a16:creationId xmlns:a16="http://schemas.microsoft.com/office/drawing/2014/main" id="{C211B420-93FE-3188-0D8C-3405F212A759}"/>
            </a:ext>
          </a:extLst>
        </xdr:cNvPr>
        <xdr:cNvSpPr/>
      </xdr:nvSpPr>
      <xdr:spPr>
        <a:xfrm rot="-5400000">
          <a:off x="15925927" y="25867995"/>
          <a:ext cx="184150" cy="18415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140</xdr:row>
      <xdr:rowOff>88756</xdr:rowOff>
    </xdr:from>
    <xdr:ext cx="774956" cy="180627"/>
    <xdr:sp macro="_xll.PtreeEvent_ObjectClick" textlink="">
      <xdr:nvSpPr>
        <xdr:cNvPr id="294" name="PTObj_DBranchName_1_72">
          <a:extLst>
            <a:ext uri="{FF2B5EF4-FFF2-40B4-BE49-F238E27FC236}">
              <a16:creationId xmlns:a16="http://schemas.microsoft.com/office/drawing/2014/main" id="{A6BD3E85-3D29-17A7-03A3-A07482EBCCB8}"/>
            </a:ext>
          </a:extLst>
        </xdr:cNvPr>
        <xdr:cNvSpPr txBox="1"/>
      </xdr:nvSpPr>
      <xdr:spPr>
        <a:xfrm>
          <a:off x="14476222" y="25869756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146</xdr:row>
      <xdr:rowOff>86996</xdr:rowOff>
    </xdr:from>
    <xdr:to>
      <xdr:col>8</xdr:col>
      <xdr:colOff>184277</xdr:colOff>
      <xdr:row>147</xdr:row>
      <xdr:rowOff>86996</xdr:rowOff>
    </xdr:to>
    <xdr:sp macro="_xll.PtreeEvent_ObjectClick" textlink="">
      <xdr:nvSpPr>
        <xdr:cNvPr id="295" name="PTObj_DNode_1_73">
          <a:extLst>
            <a:ext uri="{FF2B5EF4-FFF2-40B4-BE49-F238E27FC236}">
              <a16:creationId xmlns:a16="http://schemas.microsoft.com/office/drawing/2014/main" id="{8B329E56-5517-60E4-6A97-AE5509210AAE}"/>
            </a:ext>
          </a:extLst>
        </xdr:cNvPr>
        <xdr:cNvSpPr/>
      </xdr:nvSpPr>
      <xdr:spPr>
        <a:xfrm>
          <a:off x="14198727" y="26972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146</xdr:row>
      <xdr:rowOff>88757</xdr:rowOff>
    </xdr:from>
    <xdr:ext cx="784574" cy="180627"/>
    <xdr:sp macro="_xll.PtreeEvent_ObjectClick" textlink="">
      <xdr:nvSpPr>
        <xdr:cNvPr id="298" name="PTObj_DBranchName_1_73">
          <a:extLst>
            <a:ext uri="{FF2B5EF4-FFF2-40B4-BE49-F238E27FC236}">
              <a16:creationId xmlns:a16="http://schemas.microsoft.com/office/drawing/2014/main" id="{19F9AB80-61B4-8EDE-49AC-F0A6DC246A29}"/>
            </a:ext>
          </a:extLst>
        </xdr:cNvPr>
        <xdr:cNvSpPr txBox="1"/>
      </xdr:nvSpPr>
      <xdr:spPr>
        <a:xfrm>
          <a:off x="12787122" y="269746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144</xdr:row>
      <xdr:rowOff>86996</xdr:rowOff>
    </xdr:from>
    <xdr:to>
      <xdr:col>9</xdr:col>
      <xdr:colOff>184277</xdr:colOff>
      <xdr:row>145</xdr:row>
      <xdr:rowOff>86996</xdr:rowOff>
    </xdr:to>
    <xdr:sp macro="_xll.PtreeEvent_ObjectClick" textlink="">
      <xdr:nvSpPr>
        <xdr:cNvPr id="299" name="PTObj_DNode_1_74">
          <a:extLst>
            <a:ext uri="{FF2B5EF4-FFF2-40B4-BE49-F238E27FC236}">
              <a16:creationId xmlns:a16="http://schemas.microsoft.com/office/drawing/2014/main" id="{D8DEE2D7-A8EC-EE7A-C350-6F5B8BFB4D70}"/>
            </a:ext>
          </a:extLst>
        </xdr:cNvPr>
        <xdr:cNvSpPr/>
      </xdr:nvSpPr>
      <xdr:spPr>
        <a:xfrm rot="-5400000">
          <a:off x="15925927" y="26604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144</xdr:row>
      <xdr:rowOff>88757</xdr:rowOff>
    </xdr:from>
    <xdr:ext cx="819391" cy="180627"/>
    <xdr:sp macro="_xll.PtreeEvent_ObjectClick" textlink="">
      <xdr:nvSpPr>
        <xdr:cNvPr id="302" name="PTObj_DBranchName_1_74">
          <a:extLst>
            <a:ext uri="{FF2B5EF4-FFF2-40B4-BE49-F238E27FC236}">
              <a16:creationId xmlns:a16="http://schemas.microsoft.com/office/drawing/2014/main" id="{E1B209AA-E231-82EB-E880-7D8F85FDCC45}"/>
            </a:ext>
          </a:extLst>
        </xdr:cNvPr>
        <xdr:cNvSpPr txBox="1"/>
      </xdr:nvSpPr>
      <xdr:spPr>
        <a:xfrm>
          <a:off x="14476222" y="266063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148</xdr:row>
      <xdr:rowOff>86996</xdr:rowOff>
    </xdr:from>
    <xdr:to>
      <xdr:col>9</xdr:col>
      <xdr:colOff>184277</xdr:colOff>
      <xdr:row>149</xdr:row>
      <xdr:rowOff>86996</xdr:rowOff>
    </xdr:to>
    <xdr:sp macro="_xll.PtreeEvent_ObjectClick" textlink="">
      <xdr:nvSpPr>
        <xdr:cNvPr id="303" name="PTObj_DNode_1_75">
          <a:extLst>
            <a:ext uri="{FF2B5EF4-FFF2-40B4-BE49-F238E27FC236}">
              <a16:creationId xmlns:a16="http://schemas.microsoft.com/office/drawing/2014/main" id="{A0E271C6-D1BD-991D-901F-97A9B05015D2}"/>
            </a:ext>
          </a:extLst>
        </xdr:cNvPr>
        <xdr:cNvSpPr/>
      </xdr:nvSpPr>
      <xdr:spPr>
        <a:xfrm rot="-5400000">
          <a:off x="15925927" y="27341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148</xdr:row>
      <xdr:rowOff>88757</xdr:rowOff>
    </xdr:from>
    <xdr:ext cx="774956" cy="180627"/>
    <xdr:sp macro="_xll.PtreeEvent_ObjectClick" textlink="">
      <xdr:nvSpPr>
        <xdr:cNvPr id="306" name="PTObj_DBranchName_1_75">
          <a:extLst>
            <a:ext uri="{FF2B5EF4-FFF2-40B4-BE49-F238E27FC236}">
              <a16:creationId xmlns:a16="http://schemas.microsoft.com/office/drawing/2014/main" id="{80468048-D4F3-1F9B-28EB-E60D6CE82227}"/>
            </a:ext>
          </a:extLst>
        </xdr:cNvPr>
        <xdr:cNvSpPr txBox="1"/>
      </xdr:nvSpPr>
      <xdr:spPr>
        <a:xfrm>
          <a:off x="14476222" y="273429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158</xdr:row>
      <xdr:rowOff>86996</xdr:rowOff>
    </xdr:from>
    <xdr:to>
      <xdr:col>7</xdr:col>
      <xdr:colOff>184277</xdr:colOff>
      <xdr:row>159</xdr:row>
      <xdr:rowOff>86996</xdr:rowOff>
    </xdr:to>
    <xdr:sp macro="_xll.PtreeEvent_ObjectClick" textlink="">
      <xdr:nvSpPr>
        <xdr:cNvPr id="307" name="PTObj_DNode_1_76">
          <a:extLst>
            <a:ext uri="{FF2B5EF4-FFF2-40B4-BE49-F238E27FC236}">
              <a16:creationId xmlns:a16="http://schemas.microsoft.com/office/drawing/2014/main" id="{03B41B23-04CA-C5AC-B8B4-E85536E58732}"/>
            </a:ext>
          </a:extLst>
        </xdr:cNvPr>
        <xdr:cNvSpPr/>
      </xdr:nvSpPr>
      <xdr:spPr>
        <a:xfrm>
          <a:off x="12509627" y="29182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158</xdr:row>
      <xdr:rowOff>88757</xdr:rowOff>
    </xdr:from>
    <xdr:ext cx="219676" cy="180627"/>
    <xdr:sp macro="_xll.PtreeEvent_ObjectClick" textlink="">
      <xdr:nvSpPr>
        <xdr:cNvPr id="310" name="PTObj_DBranchName_1_76">
          <a:extLst>
            <a:ext uri="{FF2B5EF4-FFF2-40B4-BE49-F238E27FC236}">
              <a16:creationId xmlns:a16="http://schemas.microsoft.com/office/drawing/2014/main" id="{50970B4F-AAB2-8C49-81D1-09BB93F97E01}"/>
            </a:ext>
          </a:extLst>
        </xdr:cNvPr>
        <xdr:cNvSpPr txBox="1"/>
      </xdr:nvSpPr>
      <xdr:spPr>
        <a:xfrm>
          <a:off x="11180572" y="29184457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154</xdr:row>
      <xdr:rowOff>86996</xdr:rowOff>
    </xdr:from>
    <xdr:to>
      <xdr:col>8</xdr:col>
      <xdr:colOff>184277</xdr:colOff>
      <xdr:row>155</xdr:row>
      <xdr:rowOff>86996</xdr:rowOff>
    </xdr:to>
    <xdr:sp macro="_xll.PtreeEvent_ObjectClick" textlink="">
      <xdr:nvSpPr>
        <xdr:cNvPr id="311" name="PTObj_DNode_1_77">
          <a:extLst>
            <a:ext uri="{FF2B5EF4-FFF2-40B4-BE49-F238E27FC236}">
              <a16:creationId xmlns:a16="http://schemas.microsoft.com/office/drawing/2014/main" id="{F3AB5F05-B232-B379-63BD-118A70471546}"/>
            </a:ext>
          </a:extLst>
        </xdr:cNvPr>
        <xdr:cNvSpPr/>
      </xdr:nvSpPr>
      <xdr:spPr>
        <a:xfrm>
          <a:off x="14198727" y="28446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154</xdr:row>
      <xdr:rowOff>88757</xdr:rowOff>
    </xdr:from>
    <xdr:ext cx="765531" cy="180627"/>
    <xdr:sp macro="_xll.PtreeEvent_ObjectClick" textlink="">
      <xdr:nvSpPr>
        <xdr:cNvPr id="314" name="PTObj_DBranchName_1_77">
          <a:extLst>
            <a:ext uri="{FF2B5EF4-FFF2-40B4-BE49-F238E27FC236}">
              <a16:creationId xmlns:a16="http://schemas.microsoft.com/office/drawing/2014/main" id="{CBBE02FD-4774-6159-BFD6-B92FFA11564E}"/>
            </a:ext>
          </a:extLst>
        </xdr:cNvPr>
        <xdr:cNvSpPr txBox="1"/>
      </xdr:nvSpPr>
      <xdr:spPr>
        <a:xfrm>
          <a:off x="12787122" y="284478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152</xdr:row>
      <xdr:rowOff>86996</xdr:rowOff>
    </xdr:from>
    <xdr:to>
      <xdr:col>9</xdr:col>
      <xdr:colOff>184277</xdr:colOff>
      <xdr:row>153</xdr:row>
      <xdr:rowOff>86996</xdr:rowOff>
    </xdr:to>
    <xdr:sp macro="_xll.PtreeEvent_ObjectClick" textlink="">
      <xdr:nvSpPr>
        <xdr:cNvPr id="315" name="PTObj_DNode_1_78">
          <a:extLst>
            <a:ext uri="{FF2B5EF4-FFF2-40B4-BE49-F238E27FC236}">
              <a16:creationId xmlns:a16="http://schemas.microsoft.com/office/drawing/2014/main" id="{83378896-2F3F-2E9B-4510-F33D20778C4A}"/>
            </a:ext>
          </a:extLst>
        </xdr:cNvPr>
        <xdr:cNvSpPr/>
      </xdr:nvSpPr>
      <xdr:spPr>
        <a:xfrm rot="-5400000">
          <a:off x="15925927" y="28077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152</xdr:row>
      <xdr:rowOff>88757</xdr:rowOff>
    </xdr:from>
    <xdr:ext cx="819391" cy="180627"/>
    <xdr:sp macro="_xll.PtreeEvent_ObjectClick" textlink="">
      <xdr:nvSpPr>
        <xdr:cNvPr id="318" name="PTObj_DBranchName_1_78">
          <a:extLst>
            <a:ext uri="{FF2B5EF4-FFF2-40B4-BE49-F238E27FC236}">
              <a16:creationId xmlns:a16="http://schemas.microsoft.com/office/drawing/2014/main" id="{F38D1253-7D95-D91D-A556-6966C7521F1C}"/>
            </a:ext>
          </a:extLst>
        </xdr:cNvPr>
        <xdr:cNvSpPr txBox="1"/>
      </xdr:nvSpPr>
      <xdr:spPr>
        <a:xfrm>
          <a:off x="14476222" y="280795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156</xdr:row>
      <xdr:rowOff>86996</xdr:rowOff>
    </xdr:from>
    <xdr:to>
      <xdr:col>9</xdr:col>
      <xdr:colOff>184277</xdr:colOff>
      <xdr:row>157</xdr:row>
      <xdr:rowOff>86996</xdr:rowOff>
    </xdr:to>
    <xdr:sp macro="_xll.PtreeEvent_ObjectClick" textlink="">
      <xdr:nvSpPr>
        <xdr:cNvPr id="319" name="PTObj_DNode_1_79">
          <a:extLst>
            <a:ext uri="{FF2B5EF4-FFF2-40B4-BE49-F238E27FC236}">
              <a16:creationId xmlns:a16="http://schemas.microsoft.com/office/drawing/2014/main" id="{3B75ACDF-8E4E-D80C-C2AC-3048DD37C63B}"/>
            </a:ext>
          </a:extLst>
        </xdr:cNvPr>
        <xdr:cNvSpPr/>
      </xdr:nvSpPr>
      <xdr:spPr>
        <a:xfrm rot="-5400000">
          <a:off x="15925927" y="28814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156</xdr:row>
      <xdr:rowOff>88757</xdr:rowOff>
    </xdr:from>
    <xdr:ext cx="774956" cy="180627"/>
    <xdr:sp macro="_xll.PtreeEvent_ObjectClick" textlink="">
      <xdr:nvSpPr>
        <xdr:cNvPr id="322" name="PTObj_DBranchName_1_79">
          <a:extLst>
            <a:ext uri="{FF2B5EF4-FFF2-40B4-BE49-F238E27FC236}">
              <a16:creationId xmlns:a16="http://schemas.microsoft.com/office/drawing/2014/main" id="{DAB2D080-75D6-134D-2844-C55974FE3C5D}"/>
            </a:ext>
          </a:extLst>
        </xdr:cNvPr>
        <xdr:cNvSpPr txBox="1"/>
      </xdr:nvSpPr>
      <xdr:spPr>
        <a:xfrm>
          <a:off x="14476222" y="288161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162</xdr:row>
      <xdr:rowOff>86996</xdr:rowOff>
    </xdr:from>
    <xdr:to>
      <xdr:col>8</xdr:col>
      <xdr:colOff>184277</xdr:colOff>
      <xdr:row>163</xdr:row>
      <xdr:rowOff>86996</xdr:rowOff>
    </xdr:to>
    <xdr:sp macro="_xll.PtreeEvent_ObjectClick" textlink="">
      <xdr:nvSpPr>
        <xdr:cNvPr id="323" name="PTObj_DNode_1_80">
          <a:extLst>
            <a:ext uri="{FF2B5EF4-FFF2-40B4-BE49-F238E27FC236}">
              <a16:creationId xmlns:a16="http://schemas.microsoft.com/office/drawing/2014/main" id="{374D746C-91AF-C2EA-6BBA-F40829932302}"/>
            </a:ext>
          </a:extLst>
        </xdr:cNvPr>
        <xdr:cNvSpPr/>
      </xdr:nvSpPr>
      <xdr:spPr>
        <a:xfrm>
          <a:off x="14198727" y="29919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162</xdr:row>
      <xdr:rowOff>88757</xdr:rowOff>
    </xdr:from>
    <xdr:ext cx="784574" cy="180627"/>
    <xdr:sp macro="_xll.PtreeEvent_ObjectClick" textlink="">
      <xdr:nvSpPr>
        <xdr:cNvPr id="326" name="PTObj_DBranchName_1_80">
          <a:extLst>
            <a:ext uri="{FF2B5EF4-FFF2-40B4-BE49-F238E27FC236}">
              <a16:creationId xmlns:a16="http://schemas.microsoft.com/office/drawing/2014/main" id="{A54151E2-A217-8E31-D737-2FD7EE369DDC}"/>
            </a:ext>
          </a:extLst>
        </xdr:cNvPr>
        <xdr:cNvSpPr txBox="1"/>
      </xdr:nvSpPr>
      <xdr:spPr>
        <a:xfrm>
          <a:off x="12787122" y="299210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160</xdr:row>
      <xdr:rowOff>86996</xdr:rowOff>
    </xdr:from>
    <xdr:to>
      <xdr:col>9</xdr:col>
      <xdr:colOff>184277</xdr:colOff>
      <xdr:row>161</xdr:row>
      <xdr:rowOff>86996</xdr:rowOff>
    </xdr:to>
    <xdr:sp macro="_xll.PtreeEvent_ObjectClick" textlink="">
      <xdr:nvSpPr>
        <xdr:cNvPr id="327" name="PTObj_DNode_1_81">
          <a:extLst>
            <a:ext uri="{FF2B5EF4-FFF2-40B4-BE49-F238E27FC236}">
              <a16:creationId xmlns:a16="http://schemas.microsoft.com/office/drawing/2014/main" id="{2D7B06FA-4E9C-5CA2-8076-1767A1865DB2}"/>
            </a:ext>
          </a:extLst>
        </xdr:cNvPr>
        <xdr:cNvSpPr/>
      </xdr:nvSpPr>
      <xdr:spPr>
        <a:xfrm rot="-5400000">
          <a:off x="15925927" y="29550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160</xdr:row>
      <xdr:rowOff>88757</xdr:rowOff>
    </xdr:from>
    <xdr:ext cx="819391" cy="180627"/>
    <xdr:sp macro="_xll.PtreeEvent_ObjectClick" textlink="">
      <xdr:nvSpPr>
        <xdr:cNvPr id="330" name="PTObj_DBranchName_1_81">
          <a:extLst>
            <a:ext uri="{FF2B5EF4-FFF2-40B4-BE49-F238E27FC236}">
              <a16:creationId xmlns:a16="http://schemas.microsoft.com/office/drawing/2014/main" id="{672DD565-F0FF-98B7-C30D-63CB576B78A3}"/>
            </a:ext>
          </a:extLst>
        </xdr:cNvPr>
        <xdr:cNvSpPr txBox="1"/>
      </xdr:nvSpPr>
      <xdr:spPr>
        <a:xfrm>
          <a:off x="14476222" y="295527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164</xdr:row>
      <xdr:rowOff>86996</xdr:rowOff>
    </xdr:from>
    <xdr:to>
      <xdr:col>9</xdr:col>
      <xdr:colOff>184277</xdr:colOff>
      <xdr:row>165</xdr:row>
      <xdr:rowOff>86996</xdr:rowOff>
    </xdr:to>
    <xdr:sp macro="_xll.PtreeEvent_ObjectClick" textlink="">
      <xdr:nvSpPr>
        <xdr:cNvPr id="331" name="PTObj_DNode_1_82">
          <a:extLst>
            <a:ext uri="{FF2B5EF4-FFF2-40B4-BE49-F238E27FC236}">
              <a16:creationId xmlns:a16="http://schemas.microsoft.com/office/drawing/2014/main" id="{CAB8FEBA-585A-751F-2291-E31FF0057942}"/>
            </a:ext>
          </a:extLst>
        </xdr:cNvPr>
        <xdr:cNvSpPr/>
      </xdr:nvSpPr>
      <xdr:spPr>
        <a:xfrm rot="-5400000">
          <a:off x="15925927" y="30287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164</xdr:row>
      <xdr:rowOff>88757</xdr:rowOff>
    </xdr:from>
    <xdr:ext cx="774956" cy="180627"/>
    <xdr:sp macro="_xll.PtreeEvent_ObjectClick" textlink="">
      <xdr:nvSpPr>
        <xdr:cNvPr id="334" name="PTObj_DBranchName_1_82">
          <a:extLst>
            <a:ext uri="{FF2B5EF4-FFF2-40B4-BE49-F238E27FC236}">
              <a16:creationId xmlns:a16="http://schemas.microsoft.com/office/drawing/2014/main" id="{95450BFF-2F66-6EA6-7908-B02007EE1C41}"/>
            </a:ext>
          </a:extLst>
        </xdr:cNvPr>
        <xdr:cNvSpPr txBox="1"/>
      </xdr:nvSpPr>
      <xdr:spPr>
        <a:xfrm>
          <a:off x="14476222" y="302893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6</xdr:col>
      <xdr:colOff>127</xdr:colOff>
      <xdr:row>182</xdr:row>
      <xdr:rowOff>86996</xdr:rowOff>
    </xdr:from>
    <xdr:to>
      <xdr:col>6</xdr:col>
      <xdr:colOff>184277</xdr:colOff>
      <xdr:row>183</xdr:row>
      <xdr:rowOff>86996</xdr:rowOff>
    </xdr:to>
    <xdr:sp macro="_xll.PtreeEvent_ObjectClick" textlink="">
      <xdr:nvSpPr>
        <xdr:cNvPr id="335" name="PTObj_DNode_1_83">
          <a:extLst>
            <a:ext uri="{FF2B5EF4-FFF2-40B4-BE49-F238E27FC236}">
              <a16:creationId xmlns:a16="http://schemas.microsoft.com/office/drawing/2014/main" id="{2230FD05-74BA-DD91-E1AB-84D694772599}"/>
            </a:ext>
          </a:extLst>
        </xdr:cNvPr>
        <xdr:cNvSpPr/>
      </xdr:nvSpPr>
      <xdr:spPr>
        <a:xfrm>
          <a:off x="10903077" y="33602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182</xdr:row>
      <xdr:rowOff>88757</xdr:rowOff>
    </xdr:from>
    <xdr:ext cx="776943" cy="180627"/>
    <xdr:sp macro="_xll.PtreeEvent_ObjectClick" textlink="">
      <xdr:nvSpPr>
        <xdr:cNvPr id="338" name="PTObj_DBranchName_1_83">
          <a:extLst>
            <a:ext uri="{FF2B5EF4-FFF2-40B4-BE49-F238E27FC236}">
              <a16:creationId xmlns:a16="http://schemas.microsoft.com/office/drawing/2014/main" id="{D0AE00BA-1B2C-E8A0-C9B3-533CF4B48670}"/>
            </a:ext>
          </a:extLst>
        </xdr:cNvPr>
        <xdr:cNvSpPr txBox="1"/>
      </xdr:nvSpPr>
      <xdr:spPr>
        <a:xfrm>
          <a:off x="8894572" y="33604057"/>
          <a:ext cx="7769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 editAs="oneCell">
    <xdr:from>
      <xdr:col>7</xdr:col>
      <xdr:colOff>127</xdr:colOff>
      <xdr:row>174</xdr:row>
      <xdr:rowOff>86996</xdr:rowOff>
    </xdr:from>
    <xdr:to>
      <xdr:col>7</xdr:col>
      <xdr:colOff>184277</xdr:colOff>
      <xdr:row>175</xdr:row>
      <xdr:rowOff>86996</xdr:rowOff>
    </xdr:to>
    <xdr:sp macro="_xll.PtreeEvent_ObjectClick" textlink="">
      <xdr:nvSpPr>
        <xdr:cNvPr id="339" name="PTObj_DNode_1_84">
          <a:extLst>
            <a:ext uri="{FF2B5EF4-FFF2-40B4-BE49-F238E27FC236}">
              <a16:creationId xmlns:a16="http://schemas.microsoft.com/office/drawing/2014/main" id="{91CA1DF4-904D-EE9A-BCB1-E2FC5A628410}"/>
            </a:ext>
          </a:extLst>
        </xdr:cNvPr>
        <xdr:cNvSpPr/>
      </xdr:nvSpPr>
      <xdr:spPr>
        <a:xfrm>
          <a:off x="12509627" y="32129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174</xdr:row>
      <xdr:rowOff>88757</xdr:rowOff>
    </xdr:from>
    <xdr:ext cx="363240" cy="180627"/>
    <xdr:sp macro="_xll.PtreeEvent_ObjectClick" textlink="">
      <xdr:nvSpPr>
        <xdr:cNvPr id="342" name="PTObj_DBranchName_1_84">
          <a:extLst>
            <a:ext uri="{FF2B5EF4-FFF2-40B4-BE49-F238E27FC236}">
              <a16:creationId xmlns:a16="http://schemas.microsoft.com/office/drawing/2014/main" id="{A1EC97BF-C70A-663F-937B-51C1876705D4}"/>
            </a:ext>
          </a:extLst>
        </xdr:cNvPr>
        <xdr:cNvSpPr txBox="1"/>
      </xdr:nvSpPr>
      <xdr:spPr>
        <a:xfrm>
          <a:off x="11180572" y="32130857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170</xdr:row>
      <xdr:rowOff>86996</xdr:rowOff>
    </xdr:from>
    <xdr:to>
      <xdr:col>8</xdr:col>
      <xdr:colOff>184277</xdr:colOff>
      <xdr:row>171</xdr:row>
      <xdr:rowOff>86996</xdr:rowOff>
    </xdr:to>
    <xdr:sp macro="_xll.PtreeEvent_ObjectClick" textlink="">
      <xdr:nvSpPr>
        <xdr:cNvPr id="343" name="PTObj_DNode_1_85">
          <a:extLst>
            <a:ext uri="{FF2B5EF4-FFF2-40B4-BE49-F238E27FC236}">
              <a16:creationId xmlns:a16="http://schemas.microsoft.com/office/drawing/2014/main" id="{776F4579-44FB-D0AE-A58F-F10F0FB85932}"/>
            </a:ext>
          </a:extLst>
        </xdr:cNvPr>
        <xdr:cNvSpPr/>
      </xdr:nvSpPr>
      <xdr:spPr>
        <a:xfrm>
          <a:off x="14198727" y="31392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170</xdr:row>
      <xdr:rowOff>88757</xdr:rowOff>
    </xdr:from>
    <xdr:ext cx="765531" cy="180627"/>
    <xdr:sp macro="_xll.PtreeEvent_ObjectClick" textlink="">
      <xdr:nvSpPr>
        <xdr:cNvPr id="346" name="PTObj_DBranchName_1_85">
          <a:extLst>
            <a:ext uri="{FF2B5EF4-FFF2-40B4-BE49-F238E27FC236}">
              <a16:creationId xmlns:a16="http://schemas.microsoft.com/office/drawing/2014/main" id="{BAA66323-3375-665D-5550-B1639A5A454C}"/>
            </a:ext>
          </a:extLst>
        </xdr:cNvPr>
        <xdr:cNvSpPr txBox="1"/>
      </xdr:nvSpPr>
      <xdr:spPr>
        <a:xfrm>
          <a:off x="12787122" y="313942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168</xdr:row>
      <xdr:rowOff>86996</xdr:rowOff>
    </xdr:from>
    <xdr:to>
      <xdr:col>9</xdr:col>
      <xdr:colOff>184277</xdr:colOff>
      <xdr:row>169</xdr:row>
      <xdr:rowOff>86996</xdr:rowOff>
    </xdr:to>
    <xdr:sp macro="_xll.PtreeEvent_ObjectClick" textlink="">
      <xdr:nvSpPr>
        <xdr:cNvPr id="347" name="PTObj_DNode_1_86">
          <a:extLst>
            <a:ext uri="{FF2B5EF4-FFF2-40B4-BE49-F238E27FC236}">
              <a16:creationId xmlns:a16="http://schemas.microsoft.com/office/drawing/2014/main" id="{0B9247B0-F568-D486-FD4E-AAB3B44BCA22}"/>
            </a:ext>
          </a:extLst>
        </xdr:cNvPr>
        <xdr:cNvSpPr/>
      </xdr:nvSpPr>
      <xdr:spPr>
        <a:xfrm rot="-5400000">
          <a:off x="15925927" y="31024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168</xdr:row>
      <xdr:rowOff>88757</xdr:rowOff>
    </xdr:from>
    <xdr:ext cx="819391" cy="180627"/>
    <xdr:sp macro="_xll.PtreeEvent_ObjectClick" textlink="">
      <xdr:nvSpPr>
        <xdr:cNvPr id="350" name="PTObj_DBranchName_1_86">
          <a:extLst>
            <a:ext uri="{FF2B5EF4-FFF2-40B4-BE49-F238E27FC236}">
              <a16:creationId xmlns:a16="http://schemas.microsoft.com/office/drawing/2014/main" id="{F8253A57-D028-C77B-2AA9-11D71928B5AF}"/>
            </a:ext>
          </a:extLst>
        </xdr:cNvPr>
        <xdr:cNvSpPr txBox="1"/>
      </xdr:nvSpPr>
      <xdr:spPr>
        <a:xfrm>
          <a:off x="14476222" y="310259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172</xdr:row>
      <xdr:rowOff>86996</xdr:rowOff>
    </xdr:from>
    <xdr:to>
      <xdr:col>9</xdr:col>
      <xdr:colOff>184277</xdr:colOff>
      <xdr:row>173</xdr:row>
      <xdr:rowOff>86996</xdr:rowOff>
    </xdr:to>
    <xdr:sp macro="_xll.PtreeEvent_ObjectClick" textlink="">
      <xdr:nvSpPr>
        <xdr:cNvPr id="351" name="PTObj_DNode_1_87">
          <a:extLst>
            <a:ext uri="{FF2B5EF4-FFF2-40B4-BE49-F238E27FC236}">
              <a16:creationId xmlns:a16="http://schemas.microsoft.com/office/drawing/2014/main" id="{26DDE685-D52E-00CB-8DD6-527C4F507B02}"/>
            </a:ext>
          </a:extLst>
        </xdr:cNvPr>
        <xdr:cNvSpPr/>
      </xdr:nvSpPr>
      <xdr:spPr>
        <a:xfrm rot="-5400000">
          <a:off x="15925927" y="31760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172</xdr:row>
      <xdr:rowOff>88757</xdr:rowOff>
    </xdr:from>
    <xdr:ext cx="774956" cy="180627"/>
    <xdr:sp macro="_xll.PtreeEvent_ObjectClick" textlink="">
      <xdr:nvSpPr>
        <xdr:cNvPr id="354" name="PTObj_DBranchName_1_87">
          <a:extLst>
            <a:ext uri="{FF2B5EF4-FFF2-40B4-BE49-F238E27FC236}">
              <a16:creationId xmlns:a16="http://schemas.microsoft.com/office/drawing/2014/main" id="{BD8EFCDE-DDA1-8FFF-EEAD-BE26CA48B8B5}"/>
            </a:ext>
          </a:extLst>
        </xdr:cNvPr>
        <xdr:cNvSpPr txBox="1"/>
      </xdr:nvSpPr>
      <xdr:spPr>
        <a:xfrm>
          <a:off x="14476222" y="317625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178</xdr:row>
      <xdr:rowOff>86996</xdr:rowOff>
    </xdr:from>
    <xdr:to>
      <xdr:col>8</xdr:col>
      <xdr:colOff>184277</xdr:colOff>
      <xdr:row>179</xdr:row>
      <xdr:rowOff>86996</xdr:rowOff>
    </xdr:to>
    <xdr:sp macro="_xll.PtreeEvent_ObjectClick" textlink="">
      <xdr:nvSpPr>
        <xdr:cNvPr id="355" name="PTObj_DNode_1_88">
          <a:extLst>
            <a:ext uri="{FF2B5EF4-FFF2-40B4-BE49-F238E27FC236}">
              <a16:creationId xmlns:a16="http://schemas.microsoft.com/office/drawing/2014/main" id="{CC945AD3-7FB4-1927-FE3C-3613BD97CF73}"/>
            </a:ext>
          </a:extLst>
        </xdr:cNvPr>
        <xdr:cNvSpPr/>
      </xdr:nvSpPr>
      <xdr:spPr>
        <a:xfrm>
          <a:off x="14198727" y="32865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178</xdr:row>
      <xdr:rowOff>88757</xdr:rowOff>
    </xdr:from>
    <xdr:ext cx="784574" cy="180627"/>
    <xdr:sp macro="_xll.PtreeEvent_ObjectClick" textlink="">
      <xdr:nvSpPr>
        <xdr:cNvPr id="358" name="PTObj_DBranchName_1_88">
          <a:extLst>
            <a:ext uri="{FF2B5EF4-FFF2-40B4-BE49-F238E27FC236}">
              <a16:creationId xmlns:a16="http://schemas.microsoft.com/office/drawing/2014/main" id="{1C7C2A84-1315-97C6-D401-6483D4891036}"/>
            </a:ext>
          </a:extLst>
        </xdr:cNvPr>
        <xdr:cNvSpPr txBox="1"/>
      </xdr:nvSpPr>
      <xdr:spPr>
        <a:xfrm>
          <a:off x="12787122" y="328674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176</xdr:row>
      <xdr:rowOff>86996</xdr:rowOff>
    </xdr:from>
    <xdr:to>
      <xdr:col>9</xdr:col>
      <xdr:colOff>184277</xdr:colOff>
      <xdr:row>177</xdr:row>
      <xdr:rowOff>86996</xdr:rowOff>
    </xdr:to>
    <xdr:sp macro="_xll.PtreeEvent_ObjectClick" textlink="">
      <xdr:nvSpPr>
        <xdr:cNvPr id="359" name="PTObj_DNode_1_89">
          <a:extLst>
            <a:ext uri="{FF2B5EF4-FFF2-40B4-BE49-F238E27FC236}">
              <a16:creationId xmlns:a16="http://schemas.microsoft.com/office/drawing/2014/main" id="{EB545830-193F-3D89-A4B7-2893767A32EB}"/>
            </a:ext>
          </a:extLst>
        </xdr:cNvPr>
        <xdr:cNvSpPr/>
      </xdr:nvSpPr>
      <xdr:spPr>
        <a:xfrm rot="-5400000">
          <a:off x="15925927" y="32497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176</xdr:row>
      <xdr:rowOff>88757</xdr:rowOff>
    </xdr:from>
    <xdr:ext cx="819391" cy="180627"/>
    <xdr:sp macro="_xll.PtreeEvent_ObjectClick" textlink="">
      <xdr:nvSpPr>
        <xdr:cNvPr id="362" name="PTObj_DBranchName_1_89">
          <a:extLst>
            <a:ext uri="{FF2B5EF4-FFF2-40B4-BE49-F238E27FC236}">
              <a16:creationId xmlns:a16="http://schemas.microsoft.com/office/drawing/2014/main" id="{86E42034-6EDB-D737-3DBA-73E0098B2CDE}"/>
            </a:ext>
          </a:extLst>
        </xdr:cNvPr>
        <xdr:cNvSpPr txBox="1"/>
      </xdr:nvSpPr>
      <xdr:spPr>
        <a:xfrm>
          <a:off x="14476222" y="324991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180</xdr:row>
      <xdr:rowOff>86996</xdr:rowOff>
    </xdr:from>
    <xdr:to>
      <xdr:col>9</xdr:col>
      <xdr:colOff>184277</xdr:colOff>
      <xdr:row>181</xdr:row>
      <xdr:rowOff>86996</xdr:rowOff>
    </xdr:to>
    <xdr:sp macro="_xll.PtreeEvent_ObjectClick" textlink="">
      <xdr:nvSpPr>
        <xdr:cNvPr id="363" name="PTObj_DNode_1_90">
          <a:extLst>
            <a:ext uri="{FF2B5EF4-FFF2-40B4-BE49-F238E27FC236}">
              <a16:creationId xmlns:a16="http://schemas.microsoft.com/office/drawing/2014/main" id="{67D30E3D-6FFE-FF36-1096-D902128500B5}"/>
            </a:ext>
          </a:extLst>
        </xdr:cNvPr>
        <xdr:cNvSpPr/>
      </xdr:nvSpPr>
      <xdr:spPr>
        <a:xfrm rot="-5400000">
          <a:off x="15925927" y="33233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180</xdr:row>
      <xdr:rowOff>88757</xdr:rowOff>
    </xdr:from>
    <xdr:ext cx="774956" cy="180627"/>
    <xdr:sp macro="_xll.PtreeEvent_ObjectClick" textlink="">
      <xdr:nvSpPr>
        <xdr:cNvPr id="366" name="PTObj_DBranchName_1_90">
          <a:extLst>
            <a:ext uri="{FF2B5EF4-FFF2-40B4-BE49-F238E27FC236}">
              <a16:creationId xmlns:a16="http://schemas.microsoft.com/office/drawing/2014/main" id="{77F2E53B-9589-5766-1D9A-E7D3B5973CF8}"/>
            </a:ext>
          </a:extLst>
        </xdr:cNvPr>
        <xdr:cNvSpPr txBox="1"/>
      </xdr:nvSpPr>
      <xdr:spPr>
        <a:xfrm>
          <a:off x="14476222" y="332357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190</xdr:row>
      <xdr:rowOff>86996</xdr:rowOff>
    </xdr:from>
    <xdr:to>
      <xdr:col>7</xdr:col>
      <xdr:colOff>184277</xdr:colOff>
      <xdr:row>191</xdr:row>
      <xdr:rowOff>86996</xdr:rowOff>
    </xdr:to>
    <xdr:sp macro="_xll.PtreeEvent_ObjectClick" textlink="">
      <xdr:nvSpPr>
        <xdr:cNvPr id="367" name="PTObj_DNode_1_91">
          <a:extLst>
            <a:ext uri="{FF2B5EF4-FFF2-40B4-BE49-F238E27FC236}">
              <a16:creationId xmlns:a16="http://schemas.microsoft.com/office/drawing/2014/main" id="{EEF4EC78-A628-6648-40DB-C10256B6540F}"/>
            </a:ext>
          </a:extLst>
        </xdr:cNvPr>
        <xdr:cNvSpPr/>
      </xdr:nvSpPr>
      <xdr:spPr>
        <a:xfrm>
          <a:off x="12509627" y="35075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190</xdr:row>
      <xdr:rowOff>88757</xdr:rowOff>
    </xdr:from>
    <xdr:ext cx="219676" cy="180627"/>
    <xdr:sp macro="_xll.PtreeEvent_ObjectClick" textlink="">
      <xdr:nvSpPr>
        <xdr:cNvPr id="370" name="PTObj_DBranchName_1_91">
          <a:extLst>
            <a:ext uri="{FF2B5EF4-FFF2-40B4-BE49-F238E27FC236}">
              <a16:creationId xmlns:a16="http://schemas.microsoft.com/office/drawing/2014/main" id="{FB7DA69C-049E-D38A-6D53-4396C61A698B}"/>
            </a:ext>
          </a:extLst>
        </xdr:cNvPr>
        <xdr:cNvSpPr txBox="1"/>
      </xdr:nvSpPr>
      <xdr:spPr>
        <a:xfrm>
          <a:off x="11180572" y="35077257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186</xdr:row>
      <xdr:rowOff>86996</xdr:rowOff>
    </xdr:from>
    <xdr:to>
      <xdr:col>8</xdr:col>
      <xdr:colOff>184277</xdr:colOff>
      <xdr:row>187</xdr:row>
      <xdr:rowOff>86996</xdr:rowOff>
    </xdr:to>
    <xdr:sp macro="_xll.PtreeEvent_ObjectClick" textlink="">
      <xdr:nvSpPr>
        <xdr:cNvPr id="371" name="PTObj_DNode_1_92">
          <a:extLst>
            <a:ext uri="{FF2B5EF4-FFF2-40B4-BE49-F238E27FC236}">
              <a16:creationId xmlns:a16="http://schemas.microsoft.com/office/drawing/2014/main" id="{C27C3E58-ED12-4D3F-C173-D38BCABD405D}"/>
            </a:ext>
          </a:extLst>
        </xdr:cNvPr>
        <xdr:cNvSpPr/>
      </xdr:nvSpPr>
      <xdr:spPr>
        <a:xfrm>
          <a:off x="14198727" y="34338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186</xdr:row>
      <xdr:rowOff>88757</xdr:rowOff>
    </xdr:from>
    <xdr:ext cx="765531" cy="180627"/>
    <xdr:sp macro="_xll.PtreeEvent_ObjectClick" textlink="">
      <xdr:nvSpPr>
        <xdr:cNvPr id="374" name="PTObj_DBranchName_1_92">
          <a:extLst>
            <a:ext uri="{FF2B5EF4-FFF2-40B4-BE49-F238E27FC236}">
              <a16:creationId xmlns:a16="http://schemas.microsoft.com/office/drawing/2014/main" id="{A85E0A95-1E77-4494-69B0-E83871B86DE5}"/>
            </a:ext>
          </a:extLst>
        </xdr:cNvPr>
        <xdr:cNvSpPr txBox="1"/>
      </xdr:nvSpPr>
      <xdr:spPr>
        <a:xfrm>
          <a:off x="12787122" y="343406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184</xdr:row>
      <xdr:rowOff>86996</xdr:rowOff>
    </xdr:from>
    <xdr:to>
      <xdr:col>9</xdr:col>
      <xdr:colOff>184277</xdr:colOff>
      <xdr:row>185</xdr:row>
      <xdr:rowOff>86996</xdr:rowOff>
    </xdr:to>
    <xdr:sp macro="_xll.PtreeEvent_ObjectClick" textlink="">
      <xdr:nvSpPr>
        <xdr:cNvPr id="375" name="PTObj_DNode_1_93">
          <a:extLst>
            <a:ext uri="{FF2B5EF4-FFF2-40B4-BE49-F238E27FC236}">
              <a16:creationId xmlns:a16="http://schemas.microsoft.com/office/drawing/2014/main" id="{D270CD41-F244-B514-4A2D-CAE5E40EA06E}"/>
            </a:ext>
          </a:extLst>
        </xdr:cNvPr>
        <xdr:cNvSpPr/>
      </xdr:nvSpPr>
      <xdr:spPr>
        <a:xfrm rot="-5400000">
          <a:off x="15925927" y="33970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184</xdr:row>
      <xdr:rowOff>88757</xdr:rowOff>
    </xdr:from>
    <xdr:ext cx="819391" cy="180627"/>
    <xdr:sp macro="_xll.PtreeEvent_ObjectClick" textlink="">
      <xdr:nvSpPr>
        <xdr:cNvPr id="378" name="PTObj_DBranchName_1_93">
          <a:extLst>
            <a:ext uri="{FF2B5EF4-FFF2-40B4-BE49-F238E27FC236}">
              <a16:creationId xmlns:a16="http://schemas.microsoft.com/office/drawing/2014/main" id="{99C79DF5-5AD2-68D3-F1CA-BDF8294626A5}"/>
            </a:ext>
          </a:extLst>
        </xdr:cNvPr>
        <xdr:cNvSpPr txBox="1"/>
      </xdr:nvSpPr>
      <xdr:spPr>
        <a:xfrm>
          <a:off x="14476222" y="339723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188</xdr:row>
      <xdr:rowOff>86996</xdr:rowOff>
    </xdr:from>
    <xdr:to>
      <xdr:col>9</xdr:col>
      <xdr:colOff>184277</xdr:colOff>
      <xdr:row>189</xdr:row>
      <xdr:rowOff>86996</xdr:rowOff>
    </xdr:to>
    <xdr:sp macro="_xll.PtreeEvent_ObjectClick" textlink="">
      <xdr:nvSpPr>
        <xdr:cNvPr id="379" name="PTObj_DNode_1_94">
          <a:extLst>
            <a:ext uri="{FF2B5EF4-FFF2-40B4-BE49-F238E27FC236}">
              <a16:creationId xmlns:a16="http://schemas.microsoft.com/office/drawing/2014/main" id="{E87F7D1C-1F75-1E2C-0841-76A05688B7F2}"/>
            </a:ext>
          </a:extLst>
        </xdr:cNvPr>
        <xdr:cNvSpPr/>
      </xdr:nvSpPr>
      <xdr:spPr>
        <a:xfrm rot="-5400000">
          <a:off x="15925927" y="34707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188</xdr:row>
      <xdr:rowOff>88757</xdr:rowOff>
    </xdr:from>
    <xdr:ext cx="774956" cy="180627"/>
    <xdr:sp macro="_xll.PtreeEvent_ObjectClick" textlink="">
      <xdr:nvSpPr>
        <xdr:cNvPr id="382" name="PTObj_DBranchName_1_94">
          <a:extLst>
            <a:ext uri="{FF2B5EF4-FFF2-40B4-BE49-F238E27FC236}">
              <a16:creationId xmlns:a16="http://schemas.microsoft.com/office/drawing/2014/main" id="{F1B47082-8F11-DAD0-DA92-48AA3CCF9B93}"/>
            </a:ext>
          </a:extLst>
        </xdr:cNvPr>
        <xdr:cNvSpPr txBox="1"/>
      </xdr:nvSpPr>
      <xdr:spPr>
        <a:xfrm>
          <a:off x="14476222" y="347089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194</xdr:row>
      <xdr:rowOff>86996</xdr:rowOff>
    </xdr:from>
    <xdr:to>
      <xdr:col>8</xdr:col>
      <xdr:colOff>184277</xdr:colOff>
      <xdr:row>195</xdr:row>
      <xdr:rowOff>86996</xdr:rowOff>
    </xdr:to>
    <xdr:sp macro="_xll.PtreeEvent_ObjectClick" textlink="">
      <xdr:nvSpPr>
        <xdr:cNvPr id="383" name="PTObj_DNode_1_95">
          <a:extLst>
            <a:ext uri="{FF2B5EF4-FFF2-40B4-BE49-F238E27FC236}">
              <a16:creationId xmlns:a16="http://schemas.microsoft.com/office/drawing/2014/main" id="{04B3B297-9620-89CE-392D-190C2E6D68BD}"/>
            </a:ext>
          </a:extLst>
        </xdr:cNvPr>
        <xdr:cNvSpPr/>
      </xdr:nvSpPr>
      <xdr:spPr>
        <a:xfrm>
          <a:off x="14198727" y="35812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194</xdr:row>
      <xdr:rowOff>88757</xdr:rowOff>
    </xdr:from>
    <xdr:ext cx="784574" cy="180627"/>
    <xdr:sp macro="_xll.PtreeEvent_ObjectClick" textlink="">
      <xdr:nvSpPr>
        <xdr:cNvPr id="386" name="PTObj_DBranchName_1_95">
          <a:extLst>
            <a:ext uri="{FF2B5EF4-FFF2-40B4-BE49-F238E27FC236}">
              <a16:creationId xmlns:a16="http://schemas.microsoft.com/office/drawing/2014/main" id="{24D59F65-C60D-5BAE-7CA5-DC72BAE6864A}"/>
            </a:ext>
          </a:extLst>
        </xdr:cNvPr>
        <xdr:cNvSpPr txBox="1"/>
      </xdr:nvSpPr>
      <xdr:spPr>
        <a:xfrm>
          <a:off x="12787122" y="358138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192</xdr:row>
      <xdr:rowOff>86996</xdr:rowOff>
    </xdr:from>
    <xdr:to>
      <xdr:col>9</xdr:col>
      <xdr:colOff>184277</xdr:colOff>
      <xdr:row>193</xdr:row>
      <xdr:rowOff>86996</xdr:rowOff>
    </xdr:to>
    <xdr:sp macro="_xll.PtreeEvent_ObjectClick" textlink="">
      <xdr:nvSpPr>
        <xdr:cNvPr id="387" name="PTObj_DNode_1_96">
          <a:extLst>
            <a:ext uri="{FF2B5EF4-FFF2-40B4-BE49-F238E27FC236}">
              <a16:creationId xmlns:a16="http://schemas.microsoft.com/office/drawing/2014/main" id="{10873D23-0810-D04B-B43E-C29BEE911313}"/>
            </a:ext>
          </a:extLst>
        </xdr:cNvPr>
        <xdr:cNvSpPr/>
      </xdr:nvSpPr>
      <xdr:spPr>
        <a:xfrm rot="-5400000">
          <a:off x="15925927" y="35443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192</xdr:row>
      <xdr:rowOff>88757</xdr:rowOff>
    </xdr:from>
    <xdr:ext cx="819391" cy="180627"/>
    <xdr:sp macro="_xll.PtreeEvent_ObjectClick" textlink="">
      <xdr:nvSpPr>
        <xdr:cNvPr id="390" name="PTObj_DBranchName_1_96">
          <a:extLst>
            <a:ext uri="{FF2B5EF4-FFF2-40B4-BE49-F238E27FC236}">
              <a16:creationId xmlns:a16="http://schemas.microsoft.com/office/drawing/2014/main" id="{33F71B95-30A6-91BC-7CFF-6CFFB957DEE3}"/>
            </a:ext>
          </a:extLst>
        </xdr:cNvPr>
        <xdr:cNvSpPr txBox="1"/>
      </xdr:nvSpPr>
      <xdr:spPr>
        <a:xfrm>
          <a:off x="14476222" y="354455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196</xdr:row>
      <xdr:rowOff>86996</xdr:rowOff>
    </xdr:from>
    <xdr:to>
      <xdr:col>9</xdr:col>
      <xdr:colOff>184277</xdr:colOff>
      <xdr:row>197</xdr:row>
      <xdr:rowOff>86996</xdr:rowOff>
    </xdr:to>
    <xdr:sp macro="_xll.PtreeEvent_ObjectClick" textlink="">
      <xdr:nvSpPr>
        <xdr:cNvPr id="391" name="PTObj_DNode_1_97">
          <a:extLst>
            <a:ext uri="{FF2B5EF4-FFF2-40B4-BE49-F238E27FC236}">
              <a16:creationId xmlns:a16="http://schemas.microsoft.com/office/drawing/2014/main" id="{76A53787-2B5B-0B2F-24B8-B73101C3257A}"/>
            </a:ext>
          </a:extLst>
        </xdr:cNvPr>
        <xdr:cNvSpPr/>
      </xdr:nvSpPr>
      <xdr:spPr>
        <a:xfrm rot="-5400000">
          <a:off x="15925927" y="36180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196</xdr:row>
      <xdr:rowOff>88757</xdr:rowOff>
    </xdr:from>
    <xdr:ext cx="774956" cy="180627"/>
    <xdr:sp macro="_xll.PtreeEvent_ObjectClick" textlink="">
      <xdr:nvSpPr>
        <xdr:cNvPr id="394" name="PTObj_DBranchName_1_97">
          <a:extLst>
            <a:ext uri="{FF2B5EF4-FFF2-40B4-BE49-F238E27FC236}">
              <a16:creationId xmlns:a16="http://schemas.microsoft.com/office/drawing/2014/main" id="{32476A1C-A3D1-CFDC-07BA-6DE661F20AFE}"/>
            </a:ext>
          </a:extLst>
        </xdr:cNvPr>
        <xdr:cNvSpPr txBox="1"/>
      </xdr:nvSpPr>
      <xdr:spPr>
        <a:xfrm>
          <a:off x="14476222" y="361821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5</xdr:col>
      <xdr:colOff>127</xdr:colOff>
      <xdr:row>230</xdr:row>
      <xdr:rowOff>86996</xdr:rowOff>
    </xdr:from>
    <xdr:to>
      <xdr:col>5</xdr:col>
      <xdr:colOff>184277</xdr:colOff>
      <xdr:row>231</xdr:row>
      <xdr:rowOff>86996</xdr:rowOff>
    </xdr:to>
    <xdr:sp macro="_xll.PtreeEvent_ObjectClick" textlink="">
      <xdr:nvSpPr>
        <xdr:cNvPr id="395" name="PTObj_DNode_1_98">
          <a:extLst>
            <a:ext uri="{FF2B5EF4-FFF2-40B4-BE49-F238E27FC236}">
              <a16:creationId xmlns:a16="http://schemas.microsoft.com/office/drawing/2014/main" id="{C25E7609-7170-61FB-69B2-3FD29EA3DC0E}"/>
            </a:ext>
          </a:extLst>
        </xdr:cNvPr>
        <xdr:cNvSpPr/>
      </xdr:nvSpPr>
      <xdr:spPr>
        <a:xfrm>
          <a:off x="8617077" y="42441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230</xdr:row>
      <xdr:rowOff>88757</xdr:rowOff>
    </xdr:from>
    <xdr:ext cx="543546" cy="180627"/>
    <xdr:sp macro="_xll.PtreeEvent_ObjectClick" textlink="">
      <xdr:nvSpPr>
        <xdr:cNvPr id="398" name="PTObj_DBranchName_1_98">
          <a:extLst>
            <a:ext uri="{FF2B5EF4-FFF2-40B4-BE49-F238E27FC236}">
              <a16:creationId xmlns:a16="http://schemas.microsoft.com/office/drawing/2014/main" id="{3CA2A1F3-FA97-FCA2-BDCC-B63AC30B5040}"/>
            </a:ext>
          </a:extLst>
        </xdr:cNvPr>
        <xdr:cNvSpPr txBox="1"/>
      </xdr:nvSpPr>
      <xdr:spPr>
        <a:xfrm>
          <a:off x="6627622" y="42443257"/>
          <a:ext cx="5435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cloudy days</a:t>
          </a:r>
        </a:p>
      </xdr:txBody>
    </xdr:sp>
    <xdr:clientData/>
  </xdr:oneCellAnchor>
  <xdr:twoCellAnchor editAs="oneCell">
    <xdr:from>
      <xdr:col>6</xdr:col>
      <xdr:colOff>127</xdr:colOff>
      <xdr:row>214</xdr:row>
      <xdr:rowOff>86996</xdr:rowOff>
    </xdr:from>
    <xdr:to>
      <xdr:col>6</xdr:col>
      <xdr:colOff>184277</xdr:colOff>
      <xdr:row>215</xdr:row>
      <xdr:rowOff>86996</xdr:rowOff>
    </xdr:to>
    <xdr:sp macro="_xll.PtreeEvent_ObjectClick" textlink="">
      <xdr:nvSpPr>
        <xdr:cNvPr id="399" name="PTObj_DNode_1_99">
          <a:extLst>
            <a:ext uri="{FF2B5EF4-FFF2-40B4-BE49-F238E27FC236}">
              <a16:creationId xmlns:a16="http://schemas.microsoft.com/office/drawing/2014/main" id="{4A2223EE-8D7F-B253-F160-A2ED14127786}"/>
            </a:ext>
          </a:extLst>
        </xdr:cNvPr>
        <xdr:cNvSpPr/>
      </xdr:nvSpPr>
      <xdr:spPr>
        <a:xfrm>
          <a:off x="10903077" y="39495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214</xdr:row>
      <xdr:rowOff>88757</xdr:rowOff>
    </xdr:from>
    <xdr:ext cx="805605" cy="180627"/>
    <xdr:sp macro="_xll.PtreeEvent_ObjectClick" textlink="">
      <xdr:nvSpPr>
        <xdr:cNvPr id="402" name="PTObj_DBranchName_1_99">
          <a:extLst>
            <a:ext uri="{FF2B5EF4-FFF2-40B4-BE49-F238E27FC236}">
              <a16:creationId xmlns:a16="http://schemas.microsoft.com/office/drawing/2014/main" id="{CD76879F-C49F-8379-58B6-D7AB3CC2C96F}"/>
            </a:ext>
          </a:extLst>
        </xdr:cNvPr>
        <xdr:cNvSpPr txBox="1"/>
      </xdr:nvSpPr>
      <xdr:spPr>
        <a:xfrm>
          <a:off x="8894572" y="39496857"/>
          <a:ext cx="80560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7</xdr:col>
      <xdr:colOff>127</xdr:colOff>
      <xdr:row>206</xdr:row>
      <xdr:rowOff>86996</xdr:rowOff>
    </xdr:from>
    <xdr:to>
      <xdr:col>7</xdr:col>
      <xdr:colOff>184277</xdr:colOff>
      <xdr:row>207</xdr:row>
      <xdr:rowOff>86996</xdr:rowOff>
    </xdr:to>
    <xdr:sp macro="_xll.PtreeEvent_ObjectClick" textlink="">
      <xdr:nvSpPr>
        <xdr:cNvPr id="403" name="PTObj_DNode_1_100">
          <a:extLst>
            <a:ext uri="{FF2B5EF4-FFF2-40B4-BE49-F238E27FC236}">
              <a16:creationId xmlns:a16="http://schemas.microsoft.com/office/drawing/2014/main" id="{3F010B3F-5EE2-708C-3EF4-63756E080EDD}"/>
            </a:ext>
          </a:extLst>
        </xdr:cNvPr>
        <xdr:cNvSpPr/>
      </xdr:nvSpPr>
      <xdr:spPr>
        <a:xfrm>
          <a:off x="12509627" y="38021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206</xdr:row>
      <xdr:rowOff>88757</xdr:rowOff>
    </xdr:from>
    <xdr:ext cx="363240" cy="180627"/>
    <xdr:sp macro="_xll.PtreeEvent_ObjectClick" textlink="">
      <xdr:nvSpPr>
        <xdr:cNvPr id="406" name="PTObj_DBranchName_1_100">
          <a:extLst>
            <a:ext uri="{FF2B5EF4-FFF2-40B4-BE49-F238E27FC236}">
              <a16:creationId xmlns:a16="http://schemas.microsoft.com/office/drawing/2014/main" id="{7C904E3B-D0FF-C2E4-9C03-DACE9A4BBFCD}"/>
            </a:ext>
          </a:extLst>
        </xdr:cNvPr>
        <xdr:cNvSpPr txBox="1"/>
      </xdr:nvSpPr>
      <xdr:spPr>
        <a:xfrm>
          <a:off x="11180572" y="38023657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202</xdr:row>
      <xdr:rowOff>86996</xdr:rowOff>
    </xdr:from>
    <xdr:to>
      <xdr:col>8</xdr:col>
      <xdr:colOff>184277</xdr:colOff>
      <xdr:row>203</xdr:row>
      <xdr:rowOff>86996</xdr:rowOff>
    </xdr:to>
    <xdr:sp macro="_xll.PtreeEvent_ObjectClick" textlink="">
      <xdr:nvSpPr>
        <xdr:cNvPr id="407" name="PTObj_DNode_1_101">
          <a:extLst>
            <a:ext uri="{FF2B5EF4-FFF2-40B4-BE49-F238E27FC236}">
              <a16:creationId xmlns:a16="http://schemas.microsoft.com/office/drawing/2014/main" id="{5EC377E3-0480-8C0B-D6A5-D936FB8298DB}"/>
            </a:ext>
          </a:extLst>
        </xdr:cNvPr>
        <xdr:cNvSpPr/>
      </xdr:nvSpPr>
      <xdr:spPr>
        <a:xfrm>
          <a:off x="14198727" y="37285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202</xdr:row>
      <xdr:rowOff>88757</xdr:rowOff>
    </xdr:from>
    <xdr:ext cx="765531" cy="180627"/>
    <xdr:sp macro="_xll.PtreeEvent_ObjectClick" textlink="">
      <xdr:nvSpPr>
        <xdr:cNvPr id="410" name="PTObj_DBranchName_1_101">
          <a:extLst>
            <a:ext uri="{FF2B5EF4-FFF2-40B4-BE49-F238E27FC236}">
              <a16:creationId xmlns:a16="http://schemas.microsoft.com/office/drawing/2014/main" id="{C34B6868-99DF-BB24-A5C6-57F49239D108}"/>
            </a:ext>
          </a:extLst>
        </xdr:cNvPr>
        <xdr:cNvSpPr txBox="1"/>
      </xdr:nvSpPr>
      <xdr:spPr>
        <a:xfrm>
          <a:off x="12787122" y="372870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200</xdr:row>
      <xdr:rowOff>86996</xdr:rowOff>
    </xdr:from>
    <xdr:to>
      <xdr:col>9</xdr:col>
      <xdr:colOff>184277</xdr:colOff>
      <xdr:row>201</xdr:row>
      <xdr:rowOff>86996</xdr:rowOff>
    </xdr:to>
    <xdr:sp macro="_xll.PtreeEvent_ObjectClick" textlink="">
      <xdr:nvSpPr>
        <xdr:cNvPr id="411" name="PTObj_DNode_1_102">
          <a:extLst>
            <a:ext uri="{FF2B5EF4-FFF2-40B4-BE49-F238E27FC236}">
              <a16:creationId xmlns:a16="http://schemas.microsoft.com/office/drawing/2014/main" id="{4FCC47FE-C70F-ECE3-E133-7AD19818AD46}"/>
            </a:ext>
          </a:extLst>
        </xdr:cNvPr>
        <xdr:cNvSpPr/>
      </xdr:nvSpPr>
      <xdr:spPr>
        <a:xfrm rot="-5400000">
          <a:off x="15925927" y="36916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200</xdr:row>
      <xdr:rowOff>88757</xdr:rowOff>
    </xdr:from>
    <xdr:ext cx="819391" cy="180627"/>
    <xdr:sp macro="_xll.PtreeEvent_ObjectClick" textlink="">
      <xdr:nvSpPr>
        <xdr:cNvPr id="414" name="PTObj_DBranchName_1_102">
          <a:extLst>
            <a:ext uri="{FF2B5EF4-FFF2-40B4-BE49-F238E27FC236}">
              <a16:creationId xmlns:a16="http://schemas.microsoft.com/office/drawing/2014/main" id="{249B9CD7-7F04-B963-BBCE-C858C31B65F7}"/>
            </a:ext>
          </a:extLst>
        </xdr:cNvPr>
        <xdr:cNvSpPr txBox="1"/>
      </xdr:nvSpPr>
      <xdr:spPr>
        <a:xfrm>
          <a:off x="14476222" y="369187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204</xdr:row>
      <xdr:rowOff>86996</xdr:rowOff>
    </xdr:from>
    <xdr:to>
      <xdr:col>9</xdr:col>
      <xdr:colOff>184277</xdr:colOff>
      <xdr:row>205</xdr:row>
      <xdr:rowOff>86996</xdr:rowOff>
    </xdr:to>
    <xdr:sp macro="_xll.PtreeEvent_ObjectClick" textlink="">
      <xdr:nvSpPr>
        <xdr:cNvPr id="415" name="PTObj_DNode_1_103">
          <a:extLst>
            <a:ext uri="{FF2B5EF4-FFF2-40B4-BE49-F238E27FC236}">
              <a16:creationId xmlns:a16="http://schemas.microsoft.com/office/drawing/2014/main" id="{4788688D-F598-5284-C9E2-78449D7A0A81}"/>
            </a:ext>
          </a:extLst>
        </xdr:cNvPr>
        <xdr:cNvSpPr/>
      </xdr:nvSpPr>
      <xdr:spPr>
        <a:xfrm rot="-5400000">
          <a:off x="15925927" y="37653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204</xdr:row>
      <xdr:rowOff>88757</xdr:rowOff>
    </xdr:from>
    <xdr:ext cx="774956" cy="180627"/>
    <xdr:sp macro="_xll.PtreeEvent_ObjectClick" textlink="">
      <xdr:nvSpPr>
        <xdr:cNvPr id="418" name="PTObj_DBranchName_1_103">
          <a:extLst>
            <a:ext uri="{FF2B5EF4-FFF2-40B4-BE49-F238E27FC236}">
              <a16:creationId xmlns:a16="http://schemas.microsoft.com/office/drawing/2014/main" id="{F0EF0321-AA57-F86F-B36C-20C20A136CFF}"/>
            </a:ext>
          </a:extLst>
        </xdr:cNvPr>
        <xdr:cNvSpPr txBox="1"/>
      </xdr:nvSpPr>
      <xdr:spPr>
        <a:xfrm>
          <a:off x="14476222" y="376553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210</xdr:row>
      <xdr:rowOff>86996</xdr:rowOff>
    </xdr:from>
    <xdr:to>
      <xdr:col>8</xdr:col>
      <xdr:colOff>184277</xdr:colOff>
      <xdr:row>211</xdr:row>
      <xdr:rowOff>86996</xdr:rowOff>
    </xdr:to>
    <xdr:sp macro="_xll.PtreeEvent_ObjectClick" textlink="">
      <xdr:nvSpPr>
        <xdr:cNvPr id="419" name="PTObj_DNode_1_104">
          <a:extLst>
            <a:ext uri="{FF2B5EF4-FFF2-40B4-BE49-F238E27FC236}">
              <a16:creationId xmlns:a16="http://schemas.microsoft.com/office/drawing/2014/main" id="{9860F093-E1D4-9A70-C4EA-86C02E34C32D}"/>
            </a:ext>
          </a:extLst>
        </xdr:cNvPr>
        <xdr:cNvSpPr/>
      </xdr:nvSpPr>
      <xdr:spPr>
        <a:xfrm>
          <a:off x="14198727" y="38758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210</xdr:row>
      <xdr:rowOff>88757</xdr:rowOff>
    </xdr:from>
    <xdr:ext cx="784574" cy="180627"/>
    <xdr:sp macro="_xll.PtreeEvent_ObjectClick" textlink="">
      <xdr:nvSpPr>
        <xdr:cNvPr id="422" name="PTObj_DBranchName_1_104">
          <a:extLst>
            <a:ext uri="{FF2B5EF4-FFF2-40B4-BE49-F238E27FC236}">
              <a16:creationId xmlns:a16="http://schemas.microsoft.com/office/drawing/2014/main" id="{57EB86AC-B7A9-4A85-6DC1-4C9788F78D99}"/>
            </a:ext>
          </a:extLst>
        </xdr:cNvPr>
        <xdr:cNvSpPr txBox="1"/>
      </xdr:nvSpPr>
      <xdr:spPr>
        <a:xfrm>
          <a:off x="12787122" y="387602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208</xdr:row>
      <xdr:rowOff>86996</xdr:rowOff>
    </xdr:from>
    <xdr:to>
      <xdr:col>9</xdr:col>
      <xdr:colOff>184277</xdr:colOff>
      <xdr:row>209</xdr:row>
      <xdr:rowOff>86996</xdr:rowOff>
    </xdr:to>
    <xdr:sp macro="_xll.PtreeEvent_ObjectClick" textlink="">
      <xdr:nvSpPr>
        <xdr:cNvPr id="423" name="PTObj_DNode_1_105">
          <a:extLst>
            <a:ext uri="{FF2B5EF4-FFF2-40B4-BE49-F238E27FC236}">
              <a16:creationId xmlns:a16="http://schemas.microsoft.com/office/drawing/2014/main" id="{2AAEAF5E-93D5-C0DB-5CE0-C1C45F5B531A}"/>
            </a:ext>
          </a:extLst>
        </xdr:cNvPr>
        <xdr:cNvSpPr/>
      </xdr:nvSpPr>
      <xdr:spPr>
        <a:xfrm rot="-5400000">
          <a:off x="15925927" y="38390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208</xdr:row>
      <xdr:rowOff>88757</xdr:rowOff>
    </xdr:from>
    <xdr:ext cx="819391" cy="180627"/>
    <xdr:sp macro="_xll.PtreeEvent_ObjectClick" textlink="">
      <xdr:nvSpPr>
        <xdr:cNvPr id="426" name="PTObj_DBranchName_1_105">
          <a:extLst>
            <a:ext uri="{FF2B5EF4-FFF2-40B4-BE49-F238E27FC236}">
              <a16:creationId xmlns:a16="http://schemas.microsoft.com/office/drawing/2014/main" id="{38C84850-AC9A-5CFD-7C26-05F4CFD6CE95}"/>
            </a:ext>
          </a:extLst>
        </xdr:cNvPr>
        <xdr:cNvSpPr txBox="1"/>
      </xdr:nvSpPr>
      <xdr:spPr>
        <a:xfrm>
          <a:off x="14476222" y="383919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212</xdr:row>
      <xdr:rowOff>86996</xdr:rowOff>
    </xdr:from>
    <xdr:to>
      <xdr:col>9</xdr:col>
      <xdr:colOff>184277</xdr:colOff>
      <xdr:row>213</xdr:row>
      <xdr:rowOff>86996</xdr:rowOff>
    </xdr:to>
    <xdr:sp macro="_xll.PtreeEvent_ObjectClick" textlink="">
      <xdr:nvSpPr>
        <xdr:cNvPr id="427" name="PTObj_DNode_1_106">
          <a:extLst>
            <a:ext uri="{FF2B5EF4-FFF2-40B4-BE49-F238E27FC236}">
              <a16:creationId xmlns:a16="http://schemas.microsoft.com/office/drawing/2014/main" id="{098C8CE5-8EA5-CA6E-92FB-E1BF6D62B9C3}"/>
            </a:ext>
          </a:extLst>
        </xdr:cNvPr>
        <xdr:cNvSpPr/>
      </xdr:nvSpPr>
      <xdr:spPr>
        <a:xfrm rot="-5400000">
          <a:off x="15925927" y="39126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212</xdr:row>
      <xdr:rowOff>88757</xdr:rowOff>
    </xdr:from>
    <xdr:ext cx="774956" cy="180627"/>
    <xdr:sp macro="_xll.PtreeEvent_ObjectClick" textlink="">
      <xdr:nvSpPr>
        <xdr:cNvPr id="430" name="PTObj_DBranchName_1_106">
          <a:extLst>
            <a:ext uri="{FF2B5EF4-FFF2-40B4-BE49-F238E27FC236}">
              <a16:creationId xmlns:a16="http://schemas.microsoft.com/office/drawing/2014/main" id="{A3668BD1-881C-80C2-0CC2-7D565A63D5A1}"/>
            </a:ext>
          </a:extLst>
        </xdr:cNvPr>
        <xdr:cNvSpPr txBox="1"/>
      </xdr:nvSpPr>
      <xdr:spPr>
        <a:xfrm>
          <a:off x="14476222" y="391285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222</xdr:row>
      <xdr:rowOff>86996</xdr:rowOff>
    </xdr:from>
    <xdr:to>
      <xdr:col>7</xdr:col>
      <xdr:colOff>184277</xdr:colOff>
      <xdr:row>223</xdr:row>
      <xdr:rowOff>86996</xdr:rowOff>
    </xdr:to>
    <xdr:sp macro="_xll.PtreeEvent_ObjectClick" textlink="">
      <xdr:nvSpPr>
        <xdr:cNvPr id="431" name="PTObj_DNode_1_107">
          <a:extLst>
            <a:ext uri="{FF2B5EF4-FFF2-40B4-BE49-F238E27FC236}">
              <a16:creationId xmlns:a16="http://schemas.microsoft.com/office/drawing/2014/main" id="{D4EBE187-29C2-A916-45C2-D62BDE049078}"/>
            </a:ext>
          </a:extLst>
        </xdr:cNvPr>
        <xdr:cNvSpPr/>
      </xdr:nvSpPr>
      <xdr:spPr>
        <a:xfrm>
          <a:off x="12509627" y="40968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222</xdr:row>
      <xdr:rowOff>88757</xdr:rowOff>
    </xdr:from>
    <xdr:ext cx="219676" cy="180627"/>
    <xdr:sp macro="_xll.PtreeEvent_ObjectClick" textlink="">
      <xdr:nvSpPr>
        <xdr:cNvPr id="434" name="PTObj_DBranchName_1_107">
          <a:extLst>
            <a:ext uri="{FF2B5EF4-FFF2-40B4-BE49-F238E27FC236}">
              <a16:creationId xmlns:a16="http://schemas.microsoft.com/office/drawing/2014/main" id="{64C21FEE-5EF2-30DC-1D8A-12761EAA7335}"/>
            </a:ext>
          </a:extLst>
        </xdr:cNvPr>
        <xdr:cNvSpPr txBox="1"/>
      </xdr:nvSpPr>
      <xdr:spPr>
        <a:xfrm>
          <a:off x="11180572" y="40970057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218</xdr:row>
      <xdr:rowOff>86996</xdr:rowOff>
    </xdr:from>
    <xdr:to>
      <xdr:col>8</xdr:col>
      <xdr:colOff>184277</xdr:colOff>
      <xdr:row>219</xdr:row>
      <xdr:rowOff>86996</xdr:rowOff>
    </xdr:to>
    <xdr:sp macro="_xll.PtreeEvent_ObjectClick" textlink="">
      <xdr:nvSpPr>
        <xdr:cNvPr id="435" name="PTObj_DNode_1_108">
          <a:extLst>
            <a:ext uri="{FF2B5EF4-FFF2-40B4-BE49-F238E27FC236}">
              <a16:creationId xmlns:a16="http://schemas.microsoft.com/office/drawing/2014/main" id="{2CF1DF11-7A43-21C5-0252-43BF469536D8}"/>
            </a:ext>
          </a:extLst>
        </xdr:cNvPr>
        <xdr:cNvSpPr/>
      </xdr:nvSpPr>
      <xdr:spPr>
        <a:xfrm>
          <a:off x="14198727" y="40231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218</xdr:row>
      <xdr:rowOff>88757</xdr:rowOff>
    </xdr:from>
    <xdr:ext cx="765531" cy="180627"/>
    <xdr:sp macro="_xll.PtreeEvent_ObjectClick" textlink="">
      <xdr:nvSpPr>
        <xdr:cNvPr id="438" name="PTObj_DBranchName_1_108">
          <a:extLst>
            <a:ext uri="{FF2B5EF4-FFF2-40B4-BE49-F238E27FC236}">
              <a16:creationId xmlns:a16="http://schemas.microsoft.com/office/drawing/2014/main" id="{C1DA4B4B-5B24-F922-55A1-00EC3F22F547}"/>
            </a:ext>
          </a:extLst>
        </xdr:cNvPr>
        <xdr:cNvSpPr txBox="1"/>
      </xdr:nvSpPr>
      <xdr:spPr>
        <a:xfrm>
          <a:off x="12787122" y="402334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216</xdr:row>
      <xdr:rowOff>86996</xdr:rowOff>
    </xdr:from>
    <xdr:to>
      <xdr:col>9</xdr:col>
      <xdr:colOff>184277</xdr:colOff>
      <xdr:row>217</xdr:row>
      <xdr:rowOff>86996</xdr:rowOff>
    </xdr:to>
    <xdr:sp macro="_xll.PtreeEvent_ObjectClick" textlink="">
      <xdr:nvSpPr>
        <xdr:cNvPr id="439" name="PTObj_DNode_1_109">
          <a:extLst>
            <a:ext uri="{FF2B5EF4-FFF2-40B4-BE49-F238E27FC236}">
              <a16:creationId xmlns:a16="http://schemas.microsoft.com/office/drawing/2014/main" id="{358E1C1B-00E0-0C26-D0AD-9FF31C40370D}"/>
            </a:ext>
          </a:extLst>
        </xdr:cNvPr>
        <xdr:cNvSpPr/>
      </xdr:nvSpPr>
      <xdr:spPr>
        <a:xfrm rot="-5400000">
          <a:off x="15925927" y="39863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216</xdr:row>
      <xdr:rowOff>88757</xdr:rowOff>
    </xdr:from>
    <xdr:ext cx="819391" cy="180627"/>
    <xdr:sp macro="_xll.PtreeEvent_ObjectClick" textlink="">
      <xdr:nvSpPr>
        <xdr:cNvPr id="442" name="PTObj_DBranchName_1_109">
          <a:extLst>
            <a:ext uri="{FF2B5EF4-FFF2-40B4-BE49-F238E27FC236}">
              <a16:creationId xmlns:a16="http://schemas.microsoft.com/office/drawing/2014/main" id="{5110BF2F-112C-FF98-2B84-496FFE143390}"/>
            </a:ext>
          </a:extLst>
        </xdr:cNvPr>
        <xdr:cNvSpPr txBox="1"/>
      </xdr:nvSpPr>
      <xdr:spPr>
        <a:xfrm>
          <a:off x="14476222" y="398651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220</xdr:row>
      <xdr:rowOff>86996</xdr:rowOff>
    </xdr:from>
    <xdr:to>
      <xdr:col>9</xdr:col>
      <xdr:colOff>184277</xdr:colOff>
      <xdr:row>221</xdr:row>
      <xdr:rowOff>86996</xdr:rowOff>
    </xdr:to>
    <xdr:sp macro="_xll.PtreeEvent_ObjectClick" textlink="">
      <xdr:nvSpPr>
        <xdr:cNvPr id="443" name="PTObj_DNode_1_110">
          <a:extLst>
            <a:ext uri="{FF2B5EF4-FFF2-40B4-BE49-F238E27FC236}">
              <a16:creationId xmlns:a16="http://schemas.microsoft.com/office/drawing/2014/main" id="{57D807D3-0D6F-6D6F-E2BB-E6EEC46982BD}"/>
            </a:ext>
          </a:extLst>
        </xdr:cNvPr>
        <xdr:cNvSpPr/>
      </xdr:nvSpPr>
      <xdr:spPr>
        <a:xfrm rot="-5400000">
          <a:off x="15925927" y="40599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220</xdr:row>
      <xdr:rowOff>88757</xdr:rowOff>
    </xdr:from>
    <xdr:ext cx="774956" cy="180627"/>
    <xdr:sp macro="_xll.PtreeEvent_ObjectClick" textlink="">
      <xdr:nvSpPr>
        <xdr:cNvPr id="446" name="PTObj_DBranchName_1_110">
          <a:extLst>
            <a:ext uri="{FF2B5EF4-FFF2-40B4-BE49-F238E27FC236}">
              <a16:creationId xmlns:a16="http://schemas.microsoft.com/office/drawing/2014/main" id="{91961D9C-7BB4-ADFC-4BCB-A83FAFD03142}"/>
            </a:ext>
          </a:extLst>
        </xdr:cNvPr>
        <xdr:cNvSpPr txBox="1"/>
      </xdr:nvSpPr>
      <xdr:spPr>
        <a:xfrm>
          <a:off x="14476222" y="406017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226</xdr:row>
      <xdr:rowOff>86996</xdr:rowOff>
    </xdr:from>
    <xdr:to>
      <xdr:col>8</xdr:col>
      <xdr:colOff>184277</xdr:colOff>
      <xdr:row>227</xdr:row>
      <xdr:rowOff>86996</xdr:rowOff>
    </xdr:to>
    <xdr:sp macro="_xll.PtreeEvent_ObjectClick" textlink="">
      <xdr:nvSpPr>
        <xdr:cNvPr id="447" name="PTObj_DNode_1_111">
          <a:extLst>
            <a:ext uri="{FF2B5EF4-FFF2-40B4-BE49-F238E27FC236}">
              <a16:creationId xmlns:a16="http://schemas.microsoft.com/office/drawing/2014/main" id="{7F099595-C474-1944-E394-18C3913B90A4}"/>
            </a:ext>
          </a:extLst>
        </xdr:cNvPr>
        <xdr:cNvSpPr/>
      </xdr:nvSpPr>
      <xdr:spPr>
        <a:xfrm>
          <a:off x="14198727" y="41704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226</xdr:row>
      <xdr:rowOff>88757</xdr:rowOff>
    </xdr:from>
    <xdr:ext cx="784574" cy="180627"/>
    <xdr:sp macro="_xll.PtreeEvent_ObjectClick" textlink="">
      <xdr:nvSpPr>
        <xdr:cNvPr id="450" name="PTObj_DBranchName_1_111">
          <a:extLst>
            <a:ext uri="{FF2B5EF4-FFF2-40B4-BE49-F238E27FC236}">
              <a16:creationId xmlns:a16="http://schemas.microsoft.com/office/drawing/2014/main" id="{12AFF8B4-1519-2266-FCF9-09FD1C919BE1}"/>
            </a:ext>
          </a:extLst>
        </xdr:cNvPr>
        <xdr:cNvSpPr txBox="1"/>
      </xdr:nvSpPr>
      <xdr:spPr>
        <a:xfrm>
          <a:off x="12787122" y="417066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224</xdr:row>
      <xdr:rowOff>86996</xdr:rowOff>
    </xdr:from>
    <xdr:to>
      <xdr:col>9</xdr:col>
      <xdr:colOff>184277</xdr:colOff>
      <xdr:row>225</xdr:row>
      <xdr:rowOff>86996</xdr:rowOff>
    </xdr:to>
    <xdr:sp macro="_xll.PtreeEvent_ObjectClick" textlink="">
      <xdr:nvSpPr>
        <xdr:cNvPr id="451" name="PTObj_DNode_1_112">
          <a:extLst>
            <a:ext uri="{FF2B5EF4-FFF2-40B4-BE49-F238E27FC236}">
              <a16:creationId xmlns:a16="http://schemas.microsoft.com/office/drawing/2014/main" id="{E4E57E7A-DB97-08F8-125F-B91DD7E21C55}"/>
            </a:ext>
          </a:extLst>
        </xdr:cNvPr>
        <xdr:cNvSpPr/>
      </xdr:nvSpPr>
      <xdr:spPr>
        <a:xfrm rot="-5400000">
          <a:off x="15925927" y="41336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224</xdr:row>
      <xdr:rowOff>88757</xdr:rowOff>
    </xdr:from>
    <xdr:ext cx="819391" cy="180627"/>
    <xdr:sp macro="_xll.PtreeEvent_ObjectClick" textlink="">
      <xdr:nvSpPr>
        <xdr:cNvPr id="454" name="PTObj_DBranchName_1_112">
          <a:extLst>
            <a:ext uri="{FF2B5EF4-FFF2-40B4-BE49-F238E27FC236}">
              <a16:creationId xmlns:a16="http://schemas.microsoft.com/office/drawing/2014/main" id="{9701B97A-CAB1-7945-8F9C-0EDCA56F6301}"/>
            </a:ext>
          </a:extLst>
        </xdr:cNvPr>
        <xdr:cNvSpPr txBox="1"/>
      </xdr:nvSpPr>
      <xdr:spPr>
        <a:xfrm>
          <a:off x="14476222" y="413383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228</xdr:row>
      <xdr:rowOff>86996</xdr:rowOff>
    </xdr:from>
    <xdr:to>
      <xdr:col>9</xdr:col>
      <xdr:colOff>184277</xdr:colOff>
      <xdr:row>229</xdr:row>
      <xdr:rowOff>86996</xdr:rowOff>
    </xdr:to>
    <xdr:sp macro="_xll.PtreeEvent_ObjectClick" textlink="">
      <xdr:nvSpPr>
        <xdr:cNvPr id="455" name="PTObj_DNode_1_113">
          <a:extLst>
            <a:ext uri="{FF2B5EF4-FFF2-40B4-BE49-F238E27FC236}">
              <a16:creationId xmlns:a16="http://schemas.microsoft.com/office/drawing/2014/main" id="{F8E09726-26A4-91D3-E61A-805E976776F2}"/>
            </a:ext>
          </a:extLst>
        </xdr:cNvPr>
        <xdr:cNvSpPr/>
      </xdr:nvSpPr>
      <xdr:spPr>
        <a:xfrm rot="-5400000">
          <a:off x="15925927" y="42073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228</xdr:row>
      <xdr:rowOff>88757</xdr:rowOff>
    </xdr:from>
    <xdr:ext cx="774956" cy="180627"/>
    <xdr:sp macro="_xll.PtreeEvent_ObjectClick" textlink="">
      <xdr:nvSpPr>
        <xdr:cNvPr id="458" name="PTObj_DBranchName_1_113">
          <a:extLst>
            <a:ext uri="{FF2B5EF4-FFF2-40B4-BE49-F238E27FC236}">
              <a16:creationId xmlns:a16="http://schemas.microsoft.com/office/drawing/2014/main" id="{5015D4AF-331C-19E4-5DE4-95D96A8ABFC6}"/>
            </a:ext>
          </a:extLst>
        </xdr:cNvPr>
        <xdr:cNvSpPr txBox="1"/>
      </xdr:nvSpPr>
      <xdr:spPr>
        <a:xfrm>
          <a:off x="14476222" y="420749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6</xdr:col>
      <xdr:colOff>127</xdr:colOff>
      <xdr:row>246</xdr:row>
      <xdr:rowOff>86996</xdr:rowOff>
    </xdr:from>
    <xdr:to>
      <xdr:col>6</xdr:col>
      <xdr:colOff>184277</xdr:colOff>
      <xdr:row>247</xdr:row>
      <xdr:rowOff>86996</xdr:rowOff>
    </xdr:to>
    <xdr:sp macro="_xll.PtreeEvent_ObjectClick" textlink="">
      <xdr:nvSpPr>
        <xdr:cNvPr id="459" name="PTObj_DNode_1_114">
          <a:extLst>
            <a:ext uri="{FF2B5EF4-FFF2-40B4-BE49-F238E27FC236}">
              <a16:creationId xmlns:a16="http://schemas.microsoft.com/office/drawing/2014/main" id="{FB264312-B267-185E-78D8-E1B1F3D0591F}"/>
            </a:ext>
          </a:extLst>
        </xdr:cNvPr>
        <xdr:cNvSpPr/>
      </xdr:nvSpPr>
      <xdr:spPr>
        <a:xfrm>
          <a:off x="10903077" y="45387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277622</xdr:colOff>
      <xdr:row>246</xdr:row>
      <xdr:rowOff>88757</xdr:rowOff>
    </xdr:from>
    <xdr:ext cx="776943" cy="180627"/>
    <xdr:sp macro="_xll.PtreeEvent_ObjectClick" textlink="">
      <xdr:nvSpPr>
        <xdr:cNvPr id="462" name="PTObj_DBranchName_1_114">
          <a:extLst>
            <a:ext uri="{FF2B5EF4-FFF2-40B4-BE49-F238E27FC236}">
              <a16:creationId xmlns:a16="http://schemas.microsoft.com/office/drawing/2014/main" id="{6C533A9B-3685-44C5-4D6F-05A65FD70D88}"/>
            </a:ext>
          </a:extLst>
        </xdr:cNvPr>
        <xdr:cNvSpPr txBox="1"/>
      </xdr:nvSpPr>
      <xdr:spPr>
        <a:xfrm>
          <a:off x="8894572" y="45389657"/>
          <a:ext cx="7769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 editAs="oneCell">
    <xdr:from>
      <xdr:col>7</xdr:col>
      <xdr:colOff>127</xdr:colOff>
      <xdr:row>238</xdr:row>
      <xdr:rowOff>86996</xdr:rowOff>
    </xdr:from>
    <xdr:to>
      <xdr:col>7</xdr:col>
      <xdr:colOff>184277</xdr:colOff>
      <xdr:row>239</xdr:row>
      <xdr:rowOff>86996</xdr:rowOff>
    </xdr:to>
    <xdr:sp macro="_xll.PtreeEvent_ObjectClick" textlink="">
      <xdr:nvSpPr>
        <xdr:cNvPr id="463" name="PTObj_DNode_1_115">
          <a:extLst>
            <a:ext uri="{FF2B5EF4-FFF2-40B4-BE49-F238E27FC236}">
              <a16:creationId xmlns:a16="http://schemas.microsoft.com/office/drawing/2014/main" id="{BF56CEFC-175A-FF87-83E7-43D52E2894D7}"/>
            </a:ext>
          </a:extLst>
        </xdr:cNvPr>
        <xdr:cNvSpPr/>
      </xdr:nvSpPr>
      <xdr:spPr>
        <a:xfrm>
          <a:off x="12509627" y="43914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238</xdr:row>
      <xdr:rowOff>88757</xdr:rowOff>
    </xdr:from>
    <xdr:ext cx="363240" cy="180627"/>
    <xdr:sp macro="_xll.PtreeEvent_ObjectClick" textlink="">
      <xdr:nvSpPr>
        <xdr:cNvPr id="466" name="PTObj_DBranchName_1_115">
          <a:extLst>
            <a:ext uri="{FF2B5EF4-FFF2-40B4-BE49-F238E27FC236}">
              <a16:creationId xmlns:a16="http://schemas.microsoft.com/office/drawing/2014/main" id="{F35206AC-0A37-1735-023A-6E6947C5CB08}"/>
            </a:ext>
          </a:extLst>
        </xdr:cNvPr>
        <xdr:cNvSpPr txBox="1"/>
      </xdr:nvSpPr>
      <xdr:spPr>
        <a:xfrm>
          <a:off x="11180572" y="43916457"/>
          <a:ext cx="3632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VPP</a:t>
          </a:r>
        </a:p>
      </xdr:txBody>
    </xdr:sp>
    <xdr:clientData/>
  </xdr:oneCellAnchor>
  <xdr:twoCellAnchor editAs="oneCell">
    <xdr:from>
      <xdr:col>8</xdr:col>
      <xdr:colOff>127</xdr:colOff>
      <xdr:row>234</xdr:row>
      <xdr:rowOff>86996</xdr:rowOff>
    </xdr:from>
    <xdr:to>
      <xdr:col>8</xdr:col>
      <xdr:colOff>184277</xdr:colOff>
      <xdr:row>235</xdr:row>
      <xdr:rowOff>86996</xdr:rowOff>
    </xdr:to>
    <xdr:sp macro="_xll.PtreeEvent_ObjectClick" textlink="">
      <xdr:nvSpPr>
        <xdr:cNvPr id="467" name="PTObj_DNode_1_116">
          <a:extLst>
            <a:ext uri="{FF2B5EF4-FFF2-40B4-BE49-F238E27FC236}">
              <a16:creationId xmlns:a16="http://schemas.microsoft.com/office/drawing/2014/main" id="{6D79344A-4D2A-54A6-B5D0-51340417F630}"/>
            </a:ext>
          </a:extLst>
        </xdr:cNvPr>
        <xdr:cNvSpPr/>
      </xdr:nvSpPr>
      <xdr:spPr>
        <a:xfrm>
          <a:off x="14198727" y="43178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234</xdr:row>
      <xdr:rowOff>88757</xdr:rowOff>
    </xdr:from>
    <xdr:ext cx="765531" cy="180627"/>
    <xdr:sp macro="_xll.PtreeEvent_ObjectClick" textlink="">
      <xdr:nvSpPr>
        <xdr:cNvPr id="470" name="PTObj_DBranchName_1_116">
          <a:extLst>
            <a:ext uri="{FF2B5EF4-FFF2-40B4-BE49-F238E27FC236}">
              <a16:creationId xmlns:a16="http://schemas.microsoft.com/office/drawing/2014/main" id="{F60A1A5D-7307-70DA-FDAB-6203FCF59AF1}"/>
            </a:ext>
          </a:extLst>
        </xdr:cNvPr>
        <xdr:cNvSpPr txBox="1"/>
      </xdr:nvSpPr>
      <xdr:spPr>
        <a:xfrm>
          <a:off x="12787122" y="431798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232</xdr:row>
      <xdr:rowOff>86996</xdr:rowOff>
    </xdr:from>
    <xdr:to>
      <xdr:col>9</xdr:col>
      <xdr:colOff>184277</xdr:colOff>
      <xdr:row>233</xdr:row>
      <xdr:rowOff>86996</xdr:rowOff>
    </xdr:to>
    <xdr:sp macro="_xll.PtreeEvent_ObjectClick" textlink="">
      <xdr:nvSpPr>
        <xdr:cNvPr id="471" name="PTObj_DNode_1_117">
          <a:extLst>
            <a:ext uri="{FF2B5EF4-FFF2-40B4-BE49-F238E27FC236}">
              <a16:creationId xmlns:a16="http://schemas.microsoft.com/office/drawing/2014/main" id="{B7796CD7-5064-E835-938A-2A252DDF35E3}"/>
            </a:ext>
          </a:extLst>
        </xdr:cNvPr>
        <xdr:cNvSpPr/>
      </xdr:nvSpPr>
      <xdr:spPr>
        <a:xfrm rot="-5400000">
          <a:off x="15925927" y="42809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232</xdr:row>
      <xdr:rowOff>88757</xdr:rowOff>
    </xdr:from>
    <xdr:ext cx="819391" cy="180627"/>
    <xdr:sp macro="_xll.PtreeEvent_ObjectClick" textlink="">
      <xdr:nvSpPr>
        <xdr:cNvPr id="474" name="PTObj_DBranchName_1_117">
          <a:extLst>
            <a:ext uri="{FF2B5EF4-FFF2-40B4-BE49-F238E27FC236}">
              <a16:creationId xmlns:a16="http://schemas.microsoft.com/office/drawing/2014/main" id="{4D7B9976-C5E0-9A9E-279C-EBF64F3FDA94}"/>
            </a:ext>
          </a:extLst>
        </xdr:cNvPr>
        <xdr:cNvSpPr txBox="1"/>
      </xdr:nvSpPr>
      <xdr:spPr>
        <a:xfrm>
          <a:off x="14476222" y="428115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236</xdr:row>
      <xdr:rowOff>86996</xdr:rowOff>
    </xdr:from>
    <xdr:to>
      <xdr:col>9</xdr:col>
      <xdr:colOff>184277</xdr:colOff>
      <xdr:row>237</xdr:row>
      <xdr:rowOff>86996</xdr:rowOff>
    </xdr:to>
    <xdr:sp macro="_xll.PtreeEvent_ObjectClick" textlink="">
      <xdr:nvSpPr>
        <xdr:cNvPr id="475" name="PTObj_DNode_1_118">
          <a:extLst>
            <a:ext uri="{FF2B5EF4-FFF2-40B4-BE49-F238E27FC236}">
              <a16:creationId xmlns:a16="http://schemas.microsoft.com/office/drawing/2014/main" id="{32DB7AAE-3A7D-7458-2C12-908CA5126A7A}"/>
            </a:ext>
          </a:extLst>
        </xdr:cNvPr>
        <xdr:cNvSpPr/>
      </xdr:nvSpPr>
      <xdr:spPr>
        <a:xfrm rot="-5400000">
          <a:off x="15925927" y="43546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236</xdr:row>
      <xdr:rowOff>88757</xdr:rowOff>
    </xdr:from>
    <xdr:ext cx="774956" cy="180627"/>
    <xdr:sp macro="_xll.PtreeEvent_ObjectClick" textlink="">
      <xdr:nvSpPr>
        <xdr:cNvPr id="478" name="PTObj_DBranchName_1_118">
          <a:extLst>
            <a:ext uri="{FF2B5EF4-FFF2-40B4-BE49-F238E27FC236}">
              <a16:creationId xmlns:a16="http://schemas.microsoft.com/office/drawing/2014/main" id="{4E3DD238-0A35-D710-1BF5-679317CC0B72}"/>
            </a:ext>
          </a:extLst>
        </xdr:cNvPr>
        <xdr:cNvSpPr txBox="1"/>
      </xdr:nvSpPr>
      <xdr:spPr>
        <a:xfrm>
          <a:off x="14476222" y="435481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242</xdr:row>
      <xdr:rowOff>86996</xdr:rowOff>
    </xdr:from>
    <xdr:to>
      <xdr:col>8</xdr:col>
      <xdr:colOff>184277</xdr:colOff>
      <xdr:row>243</xdr:row>
      <xdr:rowOff>86996</xdr:rowOff>
    </xdr:to>
    <xdr:sp macro="_xll.PtreeEvent_ObjectClick" textlink="">
      <xdr:nvSpPr>
        <xdr:cNvPr id="479" name="PTObj_DNode_1_119">
          <a:extLst>
            <a:ext uri="{FF2B5EF4-FFF2-40B4-BE49-F238E27FC236}">
              <a16:creationId xmlns:a16="http://schemas.microsoft.com/office/drawing/2014/main" id="{ADDCFCD2-BD3E-636D-B33C-D763153536D5}"/>
            </a:ext>
          </a:extLst>
        </xdr:cNvPr>
        <xdr:cNvSpPr/>
      </xdr:nvSpPr>
      <xdr:spPr>
        <a:xfrm>
          <a:off x="14198727" y="44651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242</xdr:row>
      <xdr:rowOff>88757</xdr:rowOff>
    </xdr:from>
    <xdr:ext cx="784574" cy="180627"/>
    <xdr:sp macro="_xll.PtreeEvent_ObjectClick" textlink="">
      <xdr:nvSpPr>
        <xdr:cNvPr id="482" name="PTObj_DBranchName_1_119">
          <a:extLst>
            <a:ext uri="{FF2B5EF4-FFF2-40B4-BE49-F238E27FC236}">
              <a16:creationId xmlns:a16="http://schemas.microsoft.com/office/drawing/2014/main" id="{48E56CF2-5D54-044B-83F5-EAD12D8C691C}"/>
            </a:ext>
          </a:extLst>
        </xdr:cNvPr>
        <xdr:cNvSpPr txBox="1"/>
      </xdr:nvSpPr>
      <xdr:spPr>
        <a:xfrm>
          <a:off x="12787122" y="446530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240</xdr:row>
      <xdr:rowOff>86996</xdr:rowOff>
    </xdr:from>
    <xdr:to>
      <xdr:col>9</xdr:col>
      <xdr:colOff>184277</xdr:colOff>
      <xdr:row>241</xdr:row>
      <xdr:rowOff>86996</xdr:rowOff>
    </xdr:to>
    <xdr:sp macro="_xll.PtreeEvent_ObjectClick" textlink="">
      <xdr:nvSpPr>
        <xdr:cNvPr id="483" name="PTObj_DNode_1_120">
          <a:extLst>
            <a:ext uri="{FF2B5EF4-FFF2-40B4-BE49-F238E27FC236}">
              <a16:creationId xmlns:a16="http://schemas.microsoft.com/office/drawing/2014/main" id="{F8A47052-C3C5-5E64-0F3E-E0724DC50EF8}"/>
            </a:ext>
          </a:extLst>
        </xdr:cNvPr>
        <xdr:cNvSpPr/>
      </xdr:nvSpPr>
      <xdr:spPr>
        <a:xfrm rot="-5400000">
          <a:off x="15925927" y="44282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240</xdr:row>
      <xdr:rowOff>88757</xdr:rowOff>
    </xdr:from>
    <xdr:ext cx="819391" cy="180627"/>
    <xdr:sp macro="_xll.PtreeEvent_ObjectClick" textlink="">
      <xdr:nvSpPr>
        <xdr:cNvPr id="486" name="PTObj_DBranchName_1_120">
          <a:extLst>
            <a:ext uri="{FF2B5EF4-FFF2-40B4-BE49-F238E27FC236}">
              <a16:creationId xmlns:a16="http://schemas.microsoft.com/office/drawing/2014/main" id="{EA76DD9A-04E8-C998-3933-C0919D223D86}"/>
            </a:ext>
          </a:extLst>
        </xdr:cNvPr>
        <xdr:cNvSpPr txBox="1"/>
      </xdr:nvSpPr>
      <xdr:spPr>
        <a:xfrm>
          <a:off x="14476222" y="442847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244</xdr:row>
      <xdr:rowOff>86996</xdr:rowOff>
    </xdr:from>
    <xdr:to>
      <xdr:col>9</xdr:col>
      <xdr:colOff>184277</xdr:colOff>
      <xdr:row>245</xdr:row>
      <xdr:rowOff>86996</xdr:rowOff>
    </xdr:to>
    <xdr:sp macro="_xll.PtreeEvent_ObjectClick" textlink="">
      <xdr:nvSpPr>
        <xdr:cNvPr id="487" name="PTObj_DNode_1_121">
          <a:extLst>
            <a:ext uri="{FF2B5EF4-FFF2-40B4-BE49-F238E27FC236}">
              <a16:creationId xmlns:a16="http://schemas.microsoft.com/office/drawing/2014/main" id="{92AE53C1-BB5F-43BA-1923-1AC19B3EB86D}"/>
            </a:ext>
          </a:extLst>
        </xdr:cNvPr>
        <xdr:cNvSpPr/>
      </xdr:nvSpPr>
      <xdr:spPr>
        <a:xfrm rot="-5400000">
          <a:off x="15925927" y="45019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244</xdr:row>
      <xdr:rowOff>88757</xdr:rowOff>
    </xdr:from>
    <xdr:ext cx="774956" cy="180627"/>
    <xdr:sp macro="_xll.PtreeEvent_ObjectClick" textlink="">
      <xdr:nvSpPr>
        <xdr:cNvPr id="490" name="PTObj_DBranchName_1_121">
          <a:extLst>
            <a:ext uri="{FF2B5EF4-FFF2-40B4-BE49-F238E27FC236}">
              <a16:creationId xmlns:a16="http://schemas.microsoft.com/office/drawing/2014/main" id="{C695DD39-5580-883C-B402-5F5778C341A1}"/>
            </a:ext>
          </a:extLst>
        </xdr:cNvPr>
        <xdr:cNvSpPr txBox="1"/>
      </xdr:nvSpPr>
      <xdr:spPr>
        <a:xfrm>
          <a:off x="14476222" y="450213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7</xdr:col>
      <xdr:colOff>127</xdr:colOff>
      <xdr:row>254</xdr:row>
      <xdr:rowOff>86996</xdr:rowOff>
    </xdr:from>
    <xdr:to>
      <xdr:col>7</xdr:col>
      <xdr:colOff>184277</xdr:colOff>
      <xdr:row>255</xdr:row>
      <xdr:rowOff>86996</xdr:rowOff>
    </xdr:to>
    <xdr:sp macro="_xll.PtreeEvent_ObjectClick" textlink="">
      <xdr:nvSpPr>
        <xdr:cNvPr id="491" name="PTObj_DNode_1_122">
          <a:extLst>
            <a:ext uri="{FF2B5EF4-FFF2-40B4-BE49-F238E27FC236}">
              <a16:creationId xmlns:a16="http://schemas.microsoft.com/office/drawing/2014/main" id="{FF1BA007-CB11-A176-93C7-D73E856D842C}"/>
            </a:ext>
          </a:extLst>
        </xdr:cNvPr>
        <xdr:cNvSpPr/>
      </xdr:nvSpPr>
      <xdr:spPr>
        <a:xfrm>
          <a:off x="12509627" y="46861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277622</xdr:colOff>
      <xdr:row>254</xdr:row>
      <xdr:rowOff>88757</xdr:rowOff>
    </xdr:from>
    <xdr:ext cx="219676" cy="180627"/>
    <xdr:sp macro="_xll.PtreeEvent_ObjectClick" textlink="">
      <xdr:nvSpPr>
        <xdr:cNvPr id="494" name="PTObj_DBranchName_1_122">
          <a:extLst>
            <a:ext uri="{FF2B5EF4-FFF2-40B4-BE49-F238E27FC236}">
              <a16:creationId xmlns:a16="http://schemas.microsoft.com/office/drawing/2014/main" id="{B53FEDF8-184E-F729-D567-C90B721CAEBD}"/>
            </a:ext>
          </a:extLst>
        </xdr:cNvPr>
        <xdr:cNvSpPr txBox="1"/>
      </xdr:nvSpPr>
      <xdr:spPr>
        <a:xfrm>
          <a:off x="11180572" y="46862857"/>
          <a:ext cx="2196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VPP</a:t>
          </a:r>
        </a:p>
      </xdr:txBody>
    </xdr:sp>
    <xdr:clientData/>
  </xdr:oneCellAnchor>
  <xdr:twoCellAnchor editAs="oneCell">
    <xdr:from>
      <xdr:col>8</xdr:col>
      <xdr:colOff>127</xdr:colOff>
      <xdr:row>250</xdr:row>
      <xdr:rowOff>86996</xdr:rowOff>
    </xdr:from>
    <xdr:to>
      <xdr:col>8</xdr:col>
      <xdr:colOff>184277</xdr:colOff>
      <xdr:row>251</xdr:row>
      <xdr:rowOff>86996</xdr:rowOff>
    </xdr:to>
    <xdr:sp macro="_xll.PtreeEvent_ObjectClick" textlink="">
      <xdr:nvSpPr>
        <xdr:cNvPr id="495" name="PTObj_DNode_1_123">
          <a:extLst>
            <a:ext uri="{FF2B5EF4-FFF2-40B4-BE49-F238E27FC236}">
              <a16:creationId xmlns:a16="http://schemas.microsoft.com/office/drawing/2014/main" id="{78814365-5DDC-A6AC-2F16-E1074CBF2838}"/>
            </a:ext>
          </a:extLst>
        </xdr:cNvPr>
        <xdr:cNvSpPr/>
      </xdr:nvSpPr>
      <xdr:spPr>
        <a:xfrm>
          <a:off x="14198727" y="46124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250</xdr:row>
      <xdr:rowOff>88757</xdr:rowOff>
    </xdr:from>
    <xdr:ext cx="765531" cy="180627"/>
    <xdr:sp macro="_xll.PtreeEvent_ObjectClick" textlink="">
      <xdr:nvSpPr>
        <xdr:cNvPr id="498" name="PTObj_DBranchName_1_123">
          <a:extLst>
            <a:ext uri="{FF2B5EF4-FFF2-40B4-BE49-F238E27FC236}">
              <a16:creationId xmlns:a16="http://schemas.microsoft.com/office/drawing/2014/main" id="{F6464C04-E1E4-E48F-C381-05EBC2E3F239}"/>
            </a:ext>
          </a:extLst>
        </xdr:cNvPr>
        <xdr:cNvSpPr txBox="1"/>
      </xdr:nvSpPr>
      <xdr:spPr>
        <a:xfrm>
          <a:off x="12787122" y="46126257"/>
          <a:ext cx="7655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Degradation</a:t>
          </a:r>
        </a:p>
      </xdr:txBody>
    </xdr:sp>
    <xdr:clientData/>
  </xdr:oneCellAnchor>
  <xdr:twoCellAnchor editAs="oneCell">
    <xdr:from>
      <xdr:col>9</xdr:col>
      <xdr:colOff>127</xdr:colOff>
      <xdr:row>248</xdr:row>
      <xdr:rowOff>86996</xdr:rowOff>
    </xdr:from>
    <xdr:to>
      <xdr:col>9</xdr:col>
      <xdr:colOff>184277</xdr:colOff>
      <xdr:row>249</xdr:row>
      <xdr:rowOff>86996</xdr:rowOff>
    </xdr:to>
    <xdr:sp macro="_xll.PtreeEvent_ObjectClick" textlink="">
      <xdr:nvSpPr>
        <xdr:cNvPr id="499" name="PTObj_DNode_1_124">
          <a:extLst>
            <a:ext uri="{FF2B5EF4-FFF2-40B4-BE49-F238E27FC236}">
              <a16:creationId xmlns:a16="http://schemas.microsoft.com/office/drawing/2014/main" id="{3660CF41-0345-7F53-BA76-20D582B29775}"/>
            </a:ext>
          </a:extLst>
        </xdr:cNvPr>
        <xdr:cNvSpPr/>
      </xdr:nvSpPr>
      <xdr:spPr>
        <a:xfrm rot="-5400000">
          <a:off x="15925927" y="45756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248</xdr:row>
      <xdr:rowOff>88757</xdr:rowOff>
    </xdr:from>
    <xdr:ext cx="819391" cy="180627"/>
    <xdr:sp macro="_xll.PtreeEvent_ObjectClick" textlink="">
      <xdr:nvSpPr>
        <xdr:cNvPr id="502" name="PTObj_DBranchName_1_124">
          <a:extLst>
            <a:ext uri="{FF2B5EF4-FFF2-40B4-BE49-F238E27FC236}">
              <a16:creationId xmlns:a16="http://schemas.microsoft.com/office/drawing/2014/main" id="{A2EFCBD7-70C0-FC1D-EFE7-4E3987F20777}"/>
            </a:ext>
          </a:extLst>
        </xdr:cNvPr>
        <xdr:cNvSpPr txBox="1"/>
      </xdr:nvSpPr>
      <xdr:spPr>
        <a:xfrm>
          <a:off x="14476222" y="457579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252</xdr:row>
      <xdr:rowOff>86996</xdr:rowOff>
    </xdr:from>
    <xdr:to>
      <xdr:col>9</xdr:col>
      <xdr:colOff>184277</xdr:colOff>
      <xdr:row>253</xdr:row>
      <xdr:rowOff>86996</xdr:rowOff>
    </xdr:to>
    <xdr:sp macro="_xll.PtreeEvent_ObjectClick" textlink="">
      <xdr:nvSpPr>
        <xdr:cNvPr id="503" name="PTObj_DNode_1_125">
          <a:extLst>
            <a:ext uri="{FF2B5EF4-FFF2-40B4-BE49-F238E27FC236}">
              <a16:creationId xmlns:a16="http://schemas.microsoft.com/office/drawing/2014/main" id="{CBDE750B-F1F0-C6BC-31D1-FD5F01E4DBE1}"/>
            </a:ext>
          </a:extLst>
        </xdr:cNvPr>
        <xdr:cNvSpPr/>
      </xdr:nvSpPr>
      <xdr:spPr>
        <a:xfrm rot="-5400000">
          <a:off x="15925927" y="46492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252</xdr:row>
      <xdr:rowOff>88757</xdr:rowOff>
    </xdr:from>
    <xdr:ext cx="774956" cy="180627"/>
    <xdr:sp macro="_xll.PtreeEvent_ObjectClick" textlink="">
      <xdr:nvSpPr>
        <xdr:cNvPr id="506" name="PTObj_DBranchName_1_125">
          <a:extLst>
            <a:ext uri="{FF2B5EF4-FFF2-40B4-BE49-F238E27FC236}">
              <a16:creationId xmlns:a16="http://schemas.microsoft.com/office/drawing/2014/main" id="{C4055A37-7BB4-2978-80EB-13890818397C}"/>
            </a:ext>
          </a:extLst>
        </xdr:cNvPr>
        <xdr:cNvSpPr txBox="1"/>
      </xdr:nvSpPr>
      <xdr:spPr>
        <a:xfrm>
          <a:off x="14476222" y="464945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8</xdr:col>
      <xdr:colOff>127</xdr:colOff>
      <xdr:row>258</xdr:row>
      <xdr:rowOff>86996</xdr:rowOff>
    </xdr:from>
    <xdr:to>
      <xdr:col>8</xdr:col>
      <xdr:colOff>184277</xdr:colOff>
      <xdr:row>259</xdr:row>
      <xdr:rowOff>86996</xdr:rowOff>
    </xdr:to>
    <xdr:sp macro="_xll.PtreeEvent_ObjectClick" textlink="">
      <xdr:nvSpPr>
        <xdr:cNvPr id="507" name="PTObj_DNode_1_126">
          <a:extLst>
            <a:ext uri="{FF2B5EF4-FFF2-40B4-BE49-F238E27FC236}">
              <a16:creationId xmlns:a16="http://schemas.microsoft.com/office/drawing/2014/main" id="{EE4B43BA-394A-5189-366C-BDC60CE2B949}"/>
            </a:ext>
          </a:extLst>
        </xdr:cNvPr>
        <xdr:cNvSpPr/>
      </xdr:nvSpPr>
      <xdr:spPr>
        <a:xfrm>
          <a:off x="14198727" y="475976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277622</xdr:colOff>
      <xdr:row>258</xdr:row>
      <xdr:rowOff>88757</xdr:rowOff>
    </xdr:from>
    <xdr:ext cx="784574" cy="180627"/>
    <xdr:sp macro="_xll.PtreeEvent_ObjectClick" textlink="">
      <xdr:nvSpPr>
        <xdr:cNvPr id="510" name="PTObj_DBranchName_1_126">
          <a:extLst>
            <a:ext uri="{FF2B5EF4-FFF2-40B4-BE49-F238E27FC236}">
              <a16:creationId xmlns:a16="http://schemas.microsoft.com/office/drawing/2014/main" id="{F65F0ACB-70B9-AC09-B1DE-C5EBA3BFF6B1}"/>
            </a:ext>
          </a:extLst>
        </xdr:cNvPr>
        <xdr:cNvSpPr txBox="1"/>
      </xdr:nvSpPr>
      <xdr:spPr>
        <a:xfrm>
          <a:off x="12787122" y="47599457"/>
          <a:ext cx="7845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Degradation</a:t>
          </a:r>
        </a:p>
      </xdr:txBody>
    </xdr:sp>
    <xdr:clientData/>
  </xdr:oneCellAnchor>
  <xdr:twoCellAnchor editAs="oneCell">
    <xdr:from>
      <xdr:col>9</xdr:col>
      <xdr:colOff>127</xdr:colOff>
      <xdr:row>256</xdr:row>
      <xdr:rowOff>86996</xdr:rowOff>
    </xdr:from>
    <xdr:to>
      <xdr:col>9</xdr:col>
      <xdr:colOff>184277</xdr:colOff>
      <xdr:row>257</xdr:row>
      <xdr:rowOff>86996</xdr:rowOff>
    </xdr:to>
    <xdr:sp macro="_xll.PtreeEvent_ObjectClick" textlink="">
      <xdr:nvSpPr>
        <xdr:cNvPr id="511" name="PTObj_DNode_1_127">
          <a:extLst>
            <a:ext uri="{FF2B5EF4-FFF2-40B4-BE49-F238E27FC236}">
              <a16:creationId xmlns:a16="http://schemas.microsoft.com/office/drawing/2014/main" id="{A698192F-CD3C-3E21-F409-7173B7999A65}"/>
            </a:ext>
          </a:extLst>
        </xdr:cNvPr>
        <xdr:cNvSpPr/>
      </xdr:nvSpPr>
      <xdr:spPr>
        <a:xfrm rot="-5400000">
          <a:off x="15925927" y="47229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256</xdr:row>
      <xdr:rowOff>88757</xdr:rowOff>
    </xdr:from>
    <xdr:ext cx="819391" cy="180627"/>
    <xdr:sp macro="_xll.PtreeEvent_ObjectClick" textlink="">
      <xdr:nvSpPr>
        <xdr:cNvPr id="514" name="PTObj_DBranchName_1_127">
          <a:extLst>
            <a:ext uri="{FF2B5EF4-FFF2-40B4-BE49-F238E27FC236}">
              <a16:creationId xmlns:a16="http://schemas.microsoft.com/office/drawing/2014/main" id="{6D781E01-53DE-CE69-16D3-C14BE8347BB9}"/>
            </a:ext>
          </a:extLst>
        </xdr:cNvPr>
        <xdr:cNvSpPr txBox="1"/>
      </xdr:nvSpPr>
      <xdr:spPr>
        <a:xfrm>
          <a:off x="14476222" y="47231157"/>
          <a:ext cx="8193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Maintenance</a:t>
          </a:r>
        </a:p>
      </xdr:txBody>
    </xdr:sp>
    <xdr:clientData/>
  </xdr:oneCellAnchor>
  <xdr:twoCellAnchor editAs="oneCell">
    <xdr:from>
      <xdr:col>9</xdr:col>
      <xdr:colOff>127</xdr:colOff>
      <xdr:row>260</xdr:row>
      <xdr:rowOff>86996</xdr:rowOff>
    </xdr:from>
    <xdr:to>
      <xdr:col>9</xdr:col>
      <xdr:colOff>184277</xdr:colOff>
      <xdr:row>261</xdr:row>
      <xdr:rowOff>86996</xdr:rowOff>
    </xdr:to>
    <xdr:sp macro="_xll.PtreeEvent_ObjectClick" textlink="">
      <xdr:nvSpPr>
        <xdr:cNvPr id="515" name="PTObj_DNode_1_128">
          <a:extLst>
            <a:ext uri="{FF2B5EF4-FFF2-40B4-BE49-F238E27FC236}">
              <a16:creationId xmlns:a16="http://schemas.microsoft.com/office/drawing/2014/main" id="{6B9D7CAD-5E0A-76BB-9E79-DF8445BEF89F}"/>
            </a:ext>
          </a:extLst>
        </xdr:cNvPr>
        <xdr:cNvSpPr/>
      </xdr:nvSpPr>
      <xdr:spPr>
        <a:xfrm rot="-5400000">
          <a:off x="15925927" y="47965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277622</xdr:colOff>
      <xdr:row>260</xdr:row>
      <xdr:rowOff>88757</xdr:rowOff>
    </xdr:from>
    <xdr:ext cx="774956" cy="180627"/>
    <xdr:sp macro="_xll.PtreeEvent_ObjectClick" textlink="">
      <xdr:nvSpPr>
        <xdr:cNvPr id="518" name="PTObj_DBranchName_1_128">
          <a:extLst>
            <a:ext uri="{FF2B5EF4-FFF2-40B4-BE49-F238E27FC236}">
              <a16:creationId xmlns:a16="http://schemas.microsoft.com/office/drawing/2014/main" id="{86D7B39B-2626-6536-CCF3-4E7B84CB62F8}"/>
            </a:ext>
          </a:extLst>
        </xdr:cNvPr>
        <xdr:cNvSpPr txBox="1"/>
      </xdr:nvSpPr>
      <xdr:spPr>
        <a:xfrm>
          <a:off x="14476222" y="47967757"/>
          <a:ext cx="7749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maintenance</a:t>
          </a:r>
        </a:p>
      </xdr:txBody>
    </xdr:sp>
    <xdr:clientData/>
  </xdr:oneCellAnchor>
  <xdr:twoCellAnchor editAs="oneCell">
    <xdr:from>
      <xdr:col>3</xdr:col>
      <xdr:colOff>127</xdr:colOff>
      <xdr:row>270</xdr:row>
      <xdr:rowOff>86996</xdr:rowOff>
    </xdr:from>
    <xdr:to>
      <xdr:col>3</xdr:col>
      <xdr:colOff>184277</xdr:colOff>
      <xdr:row>271</xdr:row>
      <xdr:rowOff>86996</xdr:rowOff>
    </xdr:to>
    <xdr:sp macro="_xll.PtreeEvent_ObjectClick" textlink="">
      <xdr:nvSpPr>
        <xdr:cNvPr id="519" name="PTObj_DNode_1_129">
          <a:extLst>
            <a:ext uri="{FF2B5EF4-FFF2-40B4-BE49-F238E27FC236}">
              <a16:creationId xmlns:a16="http://schemas.microsoft.com/office/drawing/2014/main" id="{C2ECFE8A-C53F-6AB6-A7CF-40163C6FC6F5}"/>
            </a:ext>
          </a:extLst>
        </xdr:cNvPr>
        <xdr:cNvSpPr/>
      </xdr:nvSpPr>
      <xdr:spPr>
        <a:xfrm>
          <a:off x="3918077" y="498074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277622</xdr:colOff>
      <xdr:row>270</xdr:row>
      <xdr:rowOff>88757</xdr:rowOff>
    </xdr:from>
    <xdr:ext cx="548675" cy="180627"/>
    <xdr:sp macro="_xll.PtreeEvent_ObjectClick" textlink="">
      <xdr:nvSpPr>
        <xdr:cNvPr id="522" name="PTObj_DBranchName_1_129">
          <a:extLst>
            <a:ext uri="{FF2B5EF4-FFF2-40B4-BE49-F238E27FC236}">
              <a16:creationId xmlns:a16="http://schemas.microsoft.com/office/drawing/2014/main" id="{9F8FACB9-5BF7-D100-6AC6-F175B58053ED}"/>
            </a:ext>
          </a:extLst>
        </xdr:cNvPr>
        <xdr:cNvSpPr txBox="1"/>
      </xdr:nvSpPr>
      <xdr:spPr>
        <a:xfrm>
          <a:off x="2049272" y="49809257"/>
          <a:ext cx="5486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don’t install</a:t>
          </a:r>
        </a:p>
      </xdr:txBody>
    </xdr:sp>
    <xdr:clientData/>
  </xdr:oneCellAnchor>
  <xdr:twoCellAnchor editAs="oneCell">
    <xdr:from>
      <xdr:col>4</xdr:col>
      <xdr:colOff>127</xdr:colOff>
      <xdr:row>266</xdr:row>
      <xdr:rowOff>86996</xdr:rowOff>
    </xdr:from>
    <xdr:to>
      <xdr:col>4</xdr:col>
      <xdr:colOff>184277</xdr:colOff>
      <xdr:row>267</xdr:row>
      <xdr:rowOff>86996</xdr:rowOff>
    </xdr:to>
    <xdr:sp macro="_xll.PtreeEvent_ObjectClick" textlink="">
      <xdr:nvSpPr>
        <xdr:cNvPr id="523" name="PTObj_DNode_1_130">
          <a:extLst>
            <a:ext uri="{FF2B5EF4-FFF2-40B4-BE49-F238E27FC236}">
              <a16:creationId xmlns:a16="http://schemas.microsoft.com/office/drawing/2014/main" id="{845C6665-639D-69FB-F02A-2929A5C4D68B}"/>
            </a:ext>
          </a:extLst>
        </xdr:cNvPr>
        <xdr:cNvSpPr/>
      </xdr:nvSpPr>
      <xdr:spPr>
        <a:xfrm>
          <a:off x="6350127" y="49070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277622</xdr:colOff>
      <xdr:row>266</xdr:row>
      <xdr:rowOff>88757</xdr:rowOff>
    </xdr:from>
    <xdr:ext cx="659283" cy="180627"/>
    <xdr:sp macro="_xll.PtreeEvent_ObjectClick" textlink="">
      <xdr:nvSpPr>
        <xdr:cNvPr id="526" name="PTObj_DBranchName_1_130">
          <a:extLst>
            <a:ext uri="{FF2B5EF4-FFF2-40B4-BE49-F238E27FC236}">
              <a16:creationId xmlns:a16="http://schemas.microsoft.com/office/drawing/2014/main" id="{D7915725-D80B-F500-FF76-A81BD2F94991}"/>
            </a:ext>
          </a:extLst>
        </xdr:cNvPr>
        <xdr:cNvSpPr txBox="1"/>
      </xdr:nvSpPr>
      <xdr:spPr>
        <a:xfrm>
          <a:off x="4195572" y="49072657"/>
          <a:ext cx="6592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Rate Increases</a:t>
          </a:r>
        </a:p>
      </xdr:txBody>
    </xdr:sp>
    <xdr:clientData/>
  </xdr:oneCellAnchor>
  <xdr:twoCellAnchor editAs="oneCell">
    <xdr:from>
      <xdr:col>5</xdr:col>
      <xdr:colOff>127</xdr:colOff>
      <xdr:row>264</xdr:row>
      <xdr:rowOff>86996</xdr:rowOff>
    </xdr:from>
    <xdr:to>
      <xdr:col>5</xdr:col>
      <xdr:colOff>184277</xdr:colOff>
      <xdr:row>265</xdr:row>
      <xdr:rowOff>86996</xdr:rowOff>
    </xdr:to>
    <xdr:sp macro="_xll.PtreeEvent_ObjectClick" textlink="">
      <xdr:nvSpPr>
        <xdr:cNvPr id="527" name="PTObj_DNode_1_131">
          <a:extLst>
            <a:ext uri="{FF2B5EF4-FFF2-40B4-BE49-F238E27FC236}">
              <a16:creationId xmlns:a16="http://schemas.microsoft.com/office/drawing/2014/main" id="{B573626B-2C41-6467-A5BF-55F8343D4108}"/>
            </a:ext>
          </a:extLst>
        </xdr:cNvPr>
        <xdr:cNvSpPr/>
      </xdr:nvSpPr>
      <xdr:spPr>
        <a:xfrm rot="-5400000">
          <a:off x="8617077" y="48702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264</xdr:row>
      <xdr:rowOff>88757</xdr:rowOff>
    </xdr:from>
    <xdr:ext cx="826893" cy="180627"/>
    <xdr:sp macro="_xll.PtreeEvent_ObjectClick" textlink="">
      <xdr:nvSpPr>
        <xdr:cNvPr id="530" name="PTObj_DBranchName_1_131">
          <a:extLst>
            <a:ext uri="{FF2B5EF4-FFF2-40B4-BE49-F238E27FC236}">
              <a16:creationId xmlns:a16="http://schemas.microsoft.com/office/drawing/2014/main" id="{172E0432-79D2-7A89-AEB8-8B76A395C827}"/>
            </a:ext>
          </a:extLst>
        </xdr:cNvPr>
        <xdr:cNvSpPr txBox="1"/>
      </xdr:nvSpPr>
      <xdr:spPr>
        <a:xfrm>
          <a:off x="6627622" y="48704357"/>
          <a:ext cx="8268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5</xdr:col>
      <xdr:colOff>127</xdr:colOff>
      <xdr:row>268</xdr:row>
      <xdr:rowOff>86996</xdr:rowOff>
    </xdr:from>
    <xdr:to>
      <xdr:col>5</xdr:col>
      <xdr:colOff>184277</xdr:colOff>
      <xdr:row>269</xdr:row>
      <xdr:rowOff>86996</xdr:rowOff>
    </xdr:to>
    <xdr:sp macro="_xll.PtreeEvent_ObjectClick" textlink="">
      <xdr:nvSpPr>
        <xdr:cNvPr id="531" name="PTObj_DNode_1_132">
          <a:extLst>
            <a:ext uri="{FF2B5EF4-FFF2-40B4-BE49-F238E27FC236}">
              <a16:creationId xmlns:a16="http://schemas.microsoft.com/office/drawing/2014/main" id="{8C1FFAF5-2E34-C2F7-EB3C-2B6736EE550C}"/>
            </a:ext>
          </a:extLst>
        </xdr:cNvPr>
        <xdr:cNvSpPr/>
      </xdr:nvSpPr>
      <xdr:spPr>
        <a:xfrm rot="-5400000">
          <a:off x="8617077" y="49439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268</xdr:row>
      <xdr:rowOff>88757</xdr:rowOff>
    </xdr:from>
    <xdr:ext cx="807850" cy="180627"/>
    <xdr:sp macro="_xll.PtreeEvent_ObjectClick" textlink="">
      <xdr:nvSpPr>
        <xdr:cNvPr id="534" name="PTObj_DBranchName_1_132">
          <a:extLst>
            <a:ext uri="{FF2B5EF4-FFF2-40B4-BE49-F238E27FC236}">
              <a16:creationId xmlns:a16="http://schemas.microsoft.com/office/drawing/2014/main" id="{82B1E1AA-B157-583D-B694-0037A563CE27}"/>
            </a:ext>
          </a:extLst>
        </xdr:cNvPr>
        <xdr:cNvSpPr txBox="1"/>
      </xdr:nvSpPr>
      <xdr:spPr>
        <a:xfrm>
          <a:off x="6627622" y="49440957"/>
          <a:ext cx="8078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 editAs="oneCell">
    <xdr:from>
      <xdr:col>4</xdr:col>
      <xdr:colOff>127</xdr:colOff>
      <xdr:row>274</xdr:row>
      <xdr:rowOff>86996</xdr:rowOff>
    </xdr:from>
    <xdr:to>
      <xdr:col>4</xdr:col>
      <xdr:colOff>184277</xdr:colOff>
      <xdr:row>275</xdr:row>
      <xdr:rowOff>86996</xdr:rowOff>
    </xdr:to>
    <xdr:sp macro="_xll.PtreeEvent_ObjectClick" textlink="">
      <xdr:nvSpPr>
        <xdr:cNvPr id="535" name="PTObj_DNode_1_133">
          <a:extLst>
            <a:ext uri="{FF2B5EF4-FFF2-40B4-BE49-F238E27FC236}">
              <a16:creationId xmlns:a16="http://schemas.microsoft.com/office/drawing/2014/main" id="{C62E459E-B5CA-1F8A-0C4A-F13297CFF018}"/>
            </a:ext>
          </a:extLst>
        </xdr:cNvPr>
        <xdr:cNvSpPr/>
      </xdr:nvSpPr>
      <xdr:spPr>
        <a:xfrm>
          <a:off x="6350127" y="505440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277622</xdr:colOff>
      <xdr:row>274</xdr:row>
      <xdr:rowOff>88757</xdr:rowOff>
    </xdr:from>
    <xdr:ext cx="992387" cy="180627"/>
    <xdr:sp macro="_xll.PtreeEvent_ObjectClick" textlink="">
      <xdr:nvSpPr>
        <xdr:cNvPr id="538" name="PTObj_DBranchName_1_133">
          <a:extLst>
            <a:ext uri="{FF2B5EF4-FFF2-40B4-BE49-F238E27FC236}">
              <a16:creationId xmlns:a16="http://schemas.microsoft.com/office/drawing/2014/main" id="{37AA5735-EA6C-9339-F4CD-A519427A4236}"/>
            </a:ext>
          </a:extLst>
        </xdr:cNvPr>
        <xdr:cNvSpPr txBox="1"/>
      </xdr:nvSpPr>
      <xdr:spPr>
        <a:xfrm>
          <a:off x="4195572" y="50545857"/>
          <a:ext cx="9923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Rate Decreases/Stable</a:t>
          </a:r>
        </a:p>
      </xdr:txBody>
    </xdr:sp>
    <xdr:clientData/>
  </xdr:oneCellAnchor>
  <xdr:twoCellAnchor editAs="oneCell">
    <xdr:from>
      <xdr:col>5</xdr:col>
      <xdr:colOff>127</xdr:colOff>
      <xdr:row>272</xdr:row>
      <xdr:rowOff>86996</xdr:rowOff>
    </xdr:from>
    <xdr:to>
      <xdr:col>5</xdr:col>
      <xdr:colOff>184277</xdr:colOff>
      <xdr:row>273</xdr:row>
      <xdr:rowOff>86996</xdr:rowOff>
    </xdr:to>
    <xdr:sp macro="_xll.PtreeEvent_ObjectClick" textlink="">
      <xdr:nvSpPr>
        <xdr:cNvPr id="539" name="PTObj_DNode_1_134">
          <a:extLst>
            <a:ext uri="{FF2B5EF4-FFF2-40B4-BE49-F238E27FC236}">
              <a16:creationId xmlns:a16="http://schemas.microsoft.com/office/drawing/2014/main" id="{8D28B872-43A2-0BDA-9109-EC8AC38C74E9}"/>
            </a:ext>
          </a:extLst>
        </xdr:cNvPr>
        <xdr:cNvSpPr/>
      </xdr:nvSpPr>
      <xdr:spPr>
        <a:xfrm rot="-5400000">
          <a:off x="8617077" y="50175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272</xdr:row>
      <xdr:rowOff>88757</xdr:rowOff>
    </xdr:from>
    <xdr:ext cx="826893" cy="180627"/>
    <xdr:sp macro="_xll.PtreeEvent_ObjectClick" textlink="">
      <xdr:nvSpPr>
        <xdr:cNvPr id="542" name="PTObj_DBranchName_1_134">
          <a:extLst>
            <a:ext uri="{FF2B5EF4-FFF2-40B4-BE49-F238E27FC236}">
              <a16:creationId xmlns:a16="http://schemas.microsoft.com/office/drawing/2014/main" id="{8DDC1EF1-3E84-3E20-096E-740806672A32}"/>
            </a:ext>
          </a:extLst>
        </xdr:cNvPr>
        <xdr:cNvSpPr txBox="1"/>
      </xdr:nvSpPr>
      <xdr:spPr>
        <a:xfrm>
          <a:off x="6627622" y="50177557"/>
          <a:ext cx="8268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 Consumption</a:t>
          </a:r>
        </a:p>
      </xdr:txBody>
    </xdr:sp>
    <xdr:clientData/>
  </xdr:oneCellAnchor>
  <xdr:twoCellAnchor editAs="oneCell">
    <xdr:from>
      <xdr:col>5</xdr:col>
      <xdr:colOff>127</xdr:colOff>
      <xdr:row>276</xdr:row>
      <xdr:rowOff>86996</xdr:rowOff>
    </xdr:from>
    <xdr:to>
      <xdr:col>5</xdr:col>
      <xdr:colOff>184277</xdr:colOff>
      <xdr:row>277</xdr:row>
      <xdr:rowOff>86996</xdr:rowOff>
    </xdr:to>
    <xdr:sp macro="_xll.PtreeEvent_ObjectClick" textlink="">
      <xdr:nvSpPr>
        <xdr:cNvPr id="543" name="PTObj_DNode_1_135">
          <a:extLst>
            <a:ext uri="{FF2B5EF4-FFF2-40B4-BE49-F238E27FC236}">
              <a16:creationId xmlns:a16="http://schemas.microsoft.com/office/drawing/2014/main" id="{1636403D-B0E8-832A-DA85-54D9F40FF1BF}"/>
            </a:ext>
          </a:extLst>
        </xdr:cNvPr>
        <xdr:cNvSpPr/>
      </xdr:nvSpPr>
      <xdr:spPr>
        <a:xfrm rot="-5400000">
          <a:off x="8617077" y="50912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277622</xdr:colOff>
      <xdr:row>276</xdr:row>
      <xdr:rowOff>88757</xdr:rowOff>
    </xdr:from>
    <xdr:ext cx="807850" cy="180627"/>
    <xdr:sp macro="_xll.PtreeEvent_ObjectClick" textlink="">
      <xdr:nvSpPr>
        <xdr:cNvPr id="546" name="PTObj_DBranchName_1_135">
          <a:extLst>
            <a:ext uri="{FF2B5EF4-FFF2-40B4-BE49-F238E27FC236}">
              <a16:creationId xmlns:a16="http://schemas.microsoft.com/office/drawing/2014/main" id="{15AC6092-441D-7612-F469-677D999D07F0}"/>
            </a:ext>
          </a:extLst>
        </xdr:cNvPr>
        <xdr:cNvSpPr txBox="1"/>
      </xdr:nvSpPr>
      <xdr:spPr>
        <a:xfrm>
          <a:off x="6627622" y="50914157"/>
          <a:ext cx="8078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Low Consumption</a:t>
          </a:r>
        </a:p>
      </xdr:txBody>
    </xdr:sp>
    <xdr:clientData/>
  </xdr:oneCellAnchor>
  <xdr:twoCellAnchor>
    <xdr:from>
      <xdr:col>0</xdr:col>
      <xdr:colOff>482179</xdr:colOff>
      <xdr:row>1</xdr:row>
      <xdr:rowOff>168733</xdr:rowOff>
    </xdr:from>
    <xdr:to>
      <xdr:col>2</xdr:col>
      <xdr:colOff>2140685</xdr:colOff>
      <xdr:row>14</xdr:row>
      <xdr:rowOff>79862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2813CF-1ADC-B034-6D43-FC1F55ED8E22}"/>
            </a:ext>
          </a:extLst>
        </xdr:cNvPr>
        <xdr:cNvSpPr/>
      </xdr:nvSpPr>
      <xdr:spPr>
        <a:xfrm>
          <a:off x="482179" y="352177"/>
          <a:ext cx="3464728" cy="2295907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IN" sz="2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reference data and the final data sheet are in the next sheet of this workbook</a:t>
          </a:r>
          <a:endParaRPr lang="en-IN" sz="2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EC04-C4F1-403B-A37C-00B0BCB76E39}">
  <dimension ref="B9:J278"/>
  <sheetViews>
    <sheetView tabSelected="1" zoomScale="68" zoomScaleNormal="67" workbookViewId="0">
      <selection activeCell="E18" sqref="E18"/>
    </sheetView>
  </sheetViews>
  <sheetFormatPr defaultRowHeight="14.5" x14ac:dyDescent="0.35"/>
  <cols>
    <col min="2" max="2" width="17.1796875" customWidth="1"/>
    <col min="3" max="3" width="30.7265625" customWidth="1"/>
    <col min="4" max="4" width="34.81640625" customWidth="1"/>
    <col min="5" max="5" width="32.453125" customWidth="1"/>
    <col min="6" max="6" width="32.7265625" customWidth="1"/>
    <col min="7" max="7" width="23" customWidth="1"/>
    <col min="8" max="8" width="24.1796875" customWidth="1"/>
    <col min="9" max="9" width="24.7265625" customWidth="1"/>
    <col min="10" max="10" width="16.7265625" customWidth="1"/>
  </cols>
  <sheetData>
    <row r="9" spans="7:10" ht="14.5" customHeight="1" x14ac:dyDescent="0.35">
      <c r="I9" s="8">
        <v>0.3</v>
      </c>
      <c r="J9" s="4">
        <f>_xll.PTreeNodeProbability(treeCalc_1!$F$2,8)</f>
        <v>0</v>
      </c>
    </row>
    <row r="10" spans="7:10" ht="14.5" customHeight="1" x14ac:dyDescent="0.35">
      <c r="I10" s="9">
        <v>7500</v>
      </c>
      <c r="J10" s="3">
        <f>_xll.PTreeNodeValue(treeCalc_1!$F$2,8)</f>
        <v>53774.095000000001</v>
      </c>
    </row>
    <row r="11" spans="7:10" ht="14.5" customHeight="1" x14ac:dyDescent="0.35">
      <c r="H11" s="8">
        <v>0.8</v>
      </c>
      <c r="I11" s="10" t="s">
        <v>45</v>
      </c>
    </row>
    <row r="12" spans="7:10" ht="14.5" customHeight="1" x14ac:dyDescent="0.35">
      <c r="H12" s="5">
        <v>1284.02</v>
      </c>
      <c r="I12" s="11">
        <f>_xll.PTreeNodeValue(treeCalc_1!$F$2,7)</f>
        <v>50099.094999999994</v>
      </c>
    </row>
    <row r="13" spans="7:10" ht="14.5" customHeight="1" x14ac:dyDescent="0.35">
      <c r="I13" s="8">
        <f>1-I9</f>
        <v>0.7</v>
      </c>
      <c r="J13" s="4">
        <f>_xll.PTreeNodeProbability(treeCalc_1!$F$2,9)</f>
        <v>0</v>
      </c>
    </row>
    <row r="14" spans="7:10" ht="14.5" customHeight="1" x14ac:dyDescent="0.35">
      <c r="I14" s="5">
        <v>2250</v>
      </c>
      <c r="J14" s="3">
        <f>_xll.PTreeNodeValue(treeCalc_1!$F$2,9)</f>
        <v>48524.095000000001</v>
      </c>
    </row>
    <row r="15" spans="7:10" ht="14.5" customHeight="1" x14ac:dyDescent="0.35">
      <c r="G15" s="8">
        <v>1</v>
      </c>
      <c r="H15" s="10" t="s">
        <v>46</v>
      </c>
    </row>
    <row r="16" spans="7:10" ht="14.5" customHeight="1" x14ac:dyDescent="0.35">
      <c r="G16" s="5">
        <f>-((29.45-31.6)*0.19*10950)</f>
        <v>4473.0750000000044</v>
      </c>
      <c r="H16" s="11">
        <f>_xll.PTreeNodeValue(treeCalc_1!$F$2,6)</f>
        <v>50629.322999999997</v>
      </c>
    </row>
    <row r="17" spans="6:10" ht="14.5" customHeight="1" x14ac:dyDescent="0.35">
      <c r="I17" s="8">
        <v>0.3</v>
      </c>
      <c r="J17" s="4">
        <f>_xll.PTreeNodeProbability(treeCalc_1!$F$2,11)</f>
        <v>0</v>
      </c>
    </row>
    <row r="18" spans="6:10" ht="14.5" customHeight="1" x14ac:dyDescent="0.35">
      <c r="I18" s="9">
        <v>7500</v>
      </c>
      <c r="J18" s="3">
        <f>_xll.PTreeNodeValue(treeCalc_1!$F$2,11)</f>
        <v>56425.235000000001</v>
      </c>
    </row>
    <row r="19" spans="6:10" ht="14.5" customHeight="1" x14ac:dyDescent="0.35">
      <c r="H19" s="8">
        <f>1-H11</f>
        <v>0.19999999999999996</v>
      </c>
      <c r="I19" s="10" t="s">
        <v>45</v>
      </c>
    </row>
    <row r="20" spans="6:10" ht="14.5" customHeight="1" x14ac:dyDescent="0.35">
      <c r="H20" s="5">
        <v>3935.16</v>
      </c>
      <c r="I20" s="11">
        <f>_xll.PTreeNodeValue(treeCalc_1!$F$2,10)</f>
        <v>52750.235000000001</v>
      </c>
    </row>
    <row r="21" spans="6:10" ht="14.5" customHeight="1" x14ac:dyDescent="0.35">
      <c r="I21" s="8">
        <f>1-I17</f>
        <v>0.7</v>
      </c>
      <c r="J21" s="4">
        <f>_xll.PTreeNodeProbability(treeCalc_1!$F$2,12)</f>
        <v>0</v>
      </c>
    </row>
    <row r="22" spans="6:10" ht="14.5" customHeight="1" x14ac:dyDescent="0.35">
      <c r="I22" s="5">
        <v>2250</v>
      </c>
      <c r="J22" s="3">
        <f>_xll.PTreeNodeValue(treeCalc_1!$F$2,12)</f>
        <v>51175.235000000001</v>
      </c>
    </row>
    <row r="23" spans="6:10" ht="14.5" customHeight="1" x14ac:dyDescent="0.35">
      <c r="F23" s="8">
        <v>0.54300000000000004</v>
      </c>
      <c r="G23" s="10" t="s">
        <v>47</v>
      </c>
    </row>
    <row r="24" spans="6:10" ht="14.5" customHeight="1" x14ac:dyDescent="0.35">
      <c r="F24" s="5">
        <v>0</v>
      </c>
      <c r="G24" s="11">
        <f>_xll.PTreeNodeValue(treeCalc_1!$F$2,5)</f>
        <v>50629.322999999997</v>
      </c>
    </row>
    <row r="25" spans="6:10" ht="14.5" customHeight="1" x14ac:dyDescent="0.35">
      <c r="I25" s="8">
        <v>0.3</v>
      </c>
      <c r="J25" s="4">
        <f>_xll.PTreeNodeProbability(treeCalc_1!$F$2,15)</f>
        <v>0</v>
      </c>
    </row>
    <row r="26" spans="6:10" ht="14.5" customHeight="1" x14ac:dyDescent="0.35">
      <c r="I26" s="9">
        <v>7500</v>
      </c>
      <c r="J26" s="3">
        <f>_xll.PTreeNodeValue(treeCalc_1!$F$2,15)</f>
        <v>49301.02</v>
      </c>
    </row>
    <row r="27" spans="6:10" ht="14.5" customHeight="1" x14ac:dyDescent="0.35">
      <c r="H27" s="8">
        <v>0.8</v>
      </c>
      <c r="I27" s="10" t="s">
        <v>45</v>
      </c>
    </row>
    <row r="28" spans="6:10" ht="14.5" customHeight="1" x14ac:dyDescent="0.35">
      <c r="H28" s="5">
        <v>1284.02</v>
      </c>
      <c r="I28" s="11">
        <f>_xll.PTreeNodeValue(treeCalc_1!$F$2,14)</f>
        <v>45626.02</v>
      </c>
    </row>
    <row r="29" spans="6:10" ht="14.5" customHeight="1" x14ac:dyDescent="0.35">
      <c r="I29" s="8">
        <f>1-I25</f>
        <v>0.7</v>
      </c>
      <c r="J29" s="4">
        <f>_xll.PTreeNodeProbability(treeCalc_1!$F$2,16)</f>
        <v>0</v>
      </c>
    </row>
    <row r="30" spans="6:10" ht="14.5" customHeight="1" x14ac:dyDescent="0.35">
      <c r="I30" s="5">
        <v>2250</v>
      </c>
      <c r="J30" s="3">
        <f>_xll.PTreeNodeValue(treeCalc_1!$F$2,16)</f>
        <v>44051.02</v>
      </c>
    </row>
    <row r="31" spans="6:10" ht="14.5" customHeight="1" x14ac:dyDescent="0.35">
      <c r="G31" s="8">
        <v>0</v>
      </c>
      <c r="H31" s="10" t="s">
        <v>46</v>
      </c>
    </row>
    <row r="32" spans="6:10" ht="14.5" customHeight="1" x14ac:dyDescent="0.35">
      <c r="G32" s="5">
        <v>0</v>
      </c>
      <c r="H32" s="11">
        <f>_xll.PTreeNodeValue(treeCalc_1!$F$2,13)</f>
        <v>46156.248</v>
      </c>
    </row>
    <row r="33" spans="5:10" ht="14.5" customHeight="1" x14ac:dyDescent="0.35">
      <c r="I33" s="8">
        <v>0.3</v>
      </c>
      <c r="J33" s="4">
        <f>_xll.PTreeNodeProbability(treeCalc_1!$F$2,18)</f>
        <v>0</v>
      </c>
    </row>
    <row r="34" spans="5:10" ht="14.5" customHeight="1" x14ac:dyDescent="0.35">
      <c r="I34" s="9">
        <v>7500</v>
      </c>
      <c r="J34" s="3">
        <f>_xll.PTreeNodeValue(treeCalc_1!$F$2,18)</f>
        <v>51952.160000000003</v>
      </c>
    </row>
    <row r="35" spans="5:10" ht="14.5" customHeight="1" x14ac:dyDescent="0.35">
      <c r="H35" s="8">
        <f>1-H27</f>
        <v>0.19999999999999996</v>
      </c>
      <c r="I35" s="10" t="s">
        <v>45</v>
      </c>
    </row>
    <row r="36" spans="5:10" ht="14.5" customHeight="1" x14ac:dyDescent="0.35">
      <c r="H36" s="5">
        <v>3935.16</v>
      </c>
      <c r="I36" s="11">
        <f>_xll.PTreeNodeValue(treeCalc_1!$F$2,17)</f>
        <v>48277.16</v>
      </c>
    </row>
    <row r="37" spans="5:10" ht="14.5" customHeight="1" x14ac:dyDescent="0.35">
      <c r="I37" s="8">
        <f>1-I33</f>
        <v>0.7</v>
      </c>
      <c r="J37" s="4">
        <f>_xll.PTreeNodeProbability(treeCalc_1!$F$2,19)</f>
        <v>0</v>
      </c>
    </row>
    <row r="38" spans="5:10" ht="14.5" customHeight="1" x14ac:dyDescent="0.35">
      <c r="I38" s="5">
        <v>2250</v>
      </c>
      <c r="J38" s="3">
        <f>_xll.PTreeNodeValue(treeCalc_1!$F$2,19)</f>
        <v>46702.16</v>
      </c>
    </row>
    <row r="39" spans="5:10" ht="14.5" customHeight="1" x14ac:dyDescent="0.35">
      <c r="E39" s="8">
        <v>0.57499999999999996</v>
      </c>
      <c r="F39" s="10" t="s">
        <v>48</v>
      </c>
    </row>
    <row r="40" spans="5:10" ht="14.5" customHeight="1" x14ac:dyDescent="0.35">
      <c r="E40" s="5">
        <v>0</v>
      </c>
      <c r="F40" s="11">
        <f>_xll.PTreeNodeValue(treeCalc_1!$F$2,4)</f>
        <v>37413.362849999998</v>
      </c>
    </row>
    <row r="41" spans="5:10" ht="14.5" customHeight="1" x14ac:dyDescent="0.35">
      <c r="I41" s="8">
        <v>0.3</v>
      </c>
      <c r="J41" s="4">
        <f>_xll.PTreeNodeProbability(treeCalc_1!$F$2,23)</f>
        <v>0</v>
      </c>
    </row>
    <row r="42" spans="5:10" ht="14.5" customHeight="1" x14ac:dyDescent="0.35">
      <c r="I42" s="9">
        <v>7500</v>
      </c>
      <c r="J42" s="3">
        <f>_xll.PTreeNodeValue(treeCalc_1!$F$2,23)</f>
        <v>49301.02</v>
      </c>
    </row>
    <row r="43" spans="5:10" ht="14.5" customHeight="1" x14ac:dyDescent="0.35">
      <c r="H43" s="8">
        <v>0.8</v>
      </c>
      <c r="I43" s="10" t="s">
        <v>45</v>
      </c>
    </row>
    <row r="44" spans="5:10" ht="14.5" customHeight="1" x14ac:dyDescent="0.35">
      <c r="H44" s="5">
        <v>1284.02</v>
      </c>
      <c r="I44" s="11">
        <f>_xll.PTreeNodeValue(treeCalc_1!$F$2,22)</f>
        <v>45626.02</v>
      </c>
    </row>
    <row r="45" spans="5:10" ht="14.5" customHeight="1" x14ac:dyDescent="0.35">
      <c r="I45" s="8">
        <f>1-I41</f>
        <v>0.7</v>
      </c>
      <c r="J45" s="4">
        <f>_xll.PTreeNodeProbability(treeCalc_1!$F$2,24)</f>
        <v>0</v>
      </c>
    </row>
    <row r="46" spans="5:10" ht="14.5" customHeight="1" x14ac:dyDescent="0.35">
      <c r="I46" s="5">
        <v>2250</v>
      </c>
      <c r="J46" s="3">
        <f>_xll.PTreeNodeValue(treeCalc_1!$F$2,24)</f>
        <v>44051.02</v>
      </c>
    </row>
    <row r="47" spans="5:10" ht="14.5" customHeight="1" x14ac:dyDescent="0.35">
      <c r="G47" s="8">
        <v>0</v>
      </c>
      <c r="H47" s="10" t="s">
        <v>46</v>
      </c>
    </row>
    <row r="48" spans="5:10" ht="14.5" customHeight="1" x14ac:dyDescent="0.35">
      <c r="G48" s="5">
        <v>0</v>
      </c>
      <c r="H48" s="11">
        <f>_xll.PTreeNodeValue(treeCalc_1!$F$2,21)</f>
        <v>46156.248</v>
      </c>
    </row>
    <row r="49" spans="6:10" ht="14.5" customHeight="1" x14ac:dyDescent="0.35">
      <c r="I49" s="8">
        <v>0.3</v>
      </c>
      <c r="J49" s="4">
        <f>_xll.PTreeNodeProbability(treeCalc_1!$F$2,26)</f>
        <v>0</v>
      </c>
    </row>
    <row r="50" spans="6:10" ht="14.5" customHeight="1" x14ac:dyDescent="0.35">
      <c r="I50" s="9">
        <v>7500</v>
      </c>
      <c r="J50" s="3">
        <f>_xll.PTreeNodeValue(treeCalc_1!$F$2,26)</f>
        <v>51952.160000000003</v>
      </c>
    </row>
    <row r="51" spans="6:10" ht="14.5" customHeight="1" x14ac:dyDescent="0.35">
      <c r="H51" s="8">
        <f>1-H43</f>
        <v>0.19999999999999996</v>
      </c>
      <c r="I51" s="10" t="s">
        <v>45</v>
      </c>
    </row>
    <row r="52" spans="6:10" ht="14.5" customHeight="1" x14ac:dyDescent="0.35">
      <c r="H52" s="5">
        <v>3935.16</v>
      </c>
      <c r="I52" s="11">
        <f>_xll.PTreeNodeValue(treeCalc_1!$F$2,25)</f>
        <v>48277.16</v>
      </c>
    </row>
    <row r="53" spans="6:10" ht="14.5" customHeight="1" x14ac:dyDescent="0.35">
      <c r="I53" s="8">
        <f>1-I49</f>
        <v>0.7</v>
      </c>
      <c r="J53" s="4">
        <f>_xll.PTreeNodeProbability(treeCalc_1!$F$2,27)</f>
        <v>0</v>
      </c>
    </row>
    <row r="54" spans="6:10" ht="14.5" customHeight="1" x14ac:dyDescent="0.35">
      <c r="I54" s="5">
        <v>2250</v>
      </c>
      <c r="J54" s="3">
        <f>_xll.PTreeNodeValue(treeCalc_1!$F$2,27)</f>
        <v>46702.16</v>
      </c>
    </row>
    <row r="55" spans="6:10" ht="14.5" customHeight="1" x14ac:dyDescent="0.35">
      <c r="F55" s="8">
        <f>1-F23</f>
        <v>0.45699999999999996</v>
      </c>
      <c r="G55" s="10" t="s">
        <v>47</v>
      </c>
    </row>
    <row r="56" spans="6:10" ht="14.5" customHeight="1" x14ac:dyDescent="0.35">
      <c r="F56" s="5">
        <v>0</v>
      </c>
      <c r="G56" s="11">
        <f>_xll.PTreeNodeValue(treeCalc_1!$F$2,20)</f>
        <v>21710.372999999996</v>
      </c>
    </row>
    <row r="57" spans="6:10" ht="14.5" customHeight="1" x14ac:dyDescent="0.35">
      <c r="I57" s="8">
        <v>0.3</v>
      </c>
      <c r="J57" s="4">
        <f>_xll.PTreeNodeProbability(treeCalc_1!$F$2,30)</f>
        <v>0</v>
      </c>
    </row>
    <row r="58" spans="6:10" ht="14.5" customHeight="1" x14ac:dyDescent="0.35">
      <c r="I58" s="9">
        <v>7500</v>
      </c>
      <c r="J58" s="3">
        <f>_xll.PTreeNodeValue(treeCalc_1!$F$2,30)</f>
        <v>24855.145</v>
      </c>
    </row>
    <row r="59" spans="6:10" ht="14.5" customHeight="1" x14ac:dyDescent="0.35">
      <c r="H59" s="8">
        <v>0.8</v>
      </c>
      <c r="I59" s="10" t="s">
        <v>45</v>
      </c>
    </row>
    <row r="60" spans="6:10" ht="14.5" customHeight="1" x14ac:dyDescent="0.35">
      <c r="H60" s="5">
        <v>1284.02</v>
      </c>
      <c r="I60" s="11">
        <f>_xll.PTreeNodeValue(treeCalc_1!$F$2,29)</f>
        <v>21180.144999999997</v>
      </c>
    </row>
    <row r="61" spans="6:10" ht="14.5" customHeight="1" x14ac:dyDescent="0.35">
      <c r="I61" s="8">
        <f>1-I57</f>
        <v>0.7</v>
      </c>
      <c r="J61" s="4">
        <f>_xll.PTreeNodeProbability(treeCalc_1!$F$2,31)</f>
        <v>0</v>
      </c>
    </row>
    <row r="62" spans="6:10" ht="14.5" customHeight="1" x14ac:dyDescent="0.35">
      <c r="I62" s="5">
        <v>2250</v>
      </c>
      <c r="J62" s="3">
        <f>_xll.PTreeNodeValue(treeCalc_1!$F$2,31)</f>
        <v>19605.145</v>
      </c>
    </row>
    <row r="63" spans="6:10" ht="14.5" customHeight="1" x14ac:dyDescent="0.35">
      <c r="G63" s="8">
        <v>1</v>
      </c>
      <c r="H63" s="10" t="s">
        <v>46</v>
      </c>
    </row>
    <row r="64" spans="6:10" ht="14.5" customHeight="1" x14ac:dyDescent="0.35">
      <c r="G64" s="5">
        <f>-((29.45-17.7)*0.19*10950)</f>
        <v>-24445.875</v>
      </c>
      <c r="H64" s="11">
        <f>_xll.PTreeNodeValue(treeCalc_1!$F$2,28)</f>
        <v>21710.372999999996</v>
      </c>
    </row>
    <row r="65" spans="4:10" ht="14.5" customHeight="1" x14ac:dyDescent="0.35">
      <c r="I65" s="8">
        <v>0.3</v>
      </c>
      <c r="J65" s="4">
        <f>_xll.PTreeNodeProbability(treeCalc_1!$F$2,33)</f>
        <v>0</v>
      </c>
    </row>
    <row r="66" spans="4:10" ht="14.5" customHeight="1" x14ac:dyDescent="0.35">
      <c r="I66" s="9">
        <v>7500</v>
      </c>
      <c r="J66" s="3">
        <f>_xll.PTreeNodeValue(treeCalc_1!$F$2,33)</f>
        <v>27506.285</v>
      </c>
    </row>
    <row r="67" spans="4:10" ht="14.5" customHeight="1" x14ac:dyDescent="0.35">
      <c r="H67" s="8">
        <f>1-H59</f>
        <v>0.19999999999999996</v>
      </c>
      <c r="I67" s="10" t="s">
        <v>45</v>
      </c>
    </row>
    <row r="68" spans="4:10" ht="14.5" customHeight="1" x14ac:dyDescent="0.35">
      <c r="H68" s="5">
        <v>3935.16</v>
      </c>
      <c r="I68" s="11">
        <f>_xll.PTreeNodeValue(treeCalc_1!$F$2,32)</f>
        <v>23831.285</v>
      </c>
    </row>
    <row r="69" spans="4:10" ht="14.5" customHeight="1" x14ac:dyDescent="0.35">
      <c r="I69" s="8">
        <f>1-I65</f>
        <v>0.7</v>
      </c>
      <c r="J69" s="4">
        <f>_xll.PTreeNodeProbability(treeCalc_1!$F$2,34)</f>
        <v>0</v>
      </c>
    </row>
    <row r="70" spans="4:10" ht="14.5" customHeight="1" x14ac:dyDescent="0.35">
      <c r="I70" s="5">
        <v>2250</v>
      </c>
      <c r="J70" s="3">
        <f>_xll.PTreeNodeValue(treeCalc_1!$F$2,34)</f>
        <v>22256.285</v>
      </c>
    </row>
    <row r="71" spans="4:10" ht="14.5" customHeight="1" x14ac:dyDescent="0.35">
      <c r="D71" s="7" t="b">
        <f>_xll.PTreeNodeDecision(treeCalc_1!$F$2,3)</f>
        <v>0</v>
      </c>
      <c r="E71" s="10" t="s">
        <v>49</v>
      </c>
    </row>
    <row r="72" spans="4:10" ht="14.5" customHeight="1" x14ac:dyDescent="0.35">
      <c r="D72" s="5">
        <f>47041-6524</f>
        <v>40517</v>
      </c>
      <c r="E72" s="11">
        <f>_xll.PTreeNodeValue(treeCalc_1!$F$2,3)</f>
        <v>43426.007849999995</v>
      </c>
    </row>
    <row r="73" spans="4:10" ht="14.5" customHeight="1" x14ac:dyDescent="0.35">
      <c r="I73" s="8">
        <v>0.3</v>
      </c>
      <c r="J73" s="4">
        <f>_xll.PTreeNodeProbability(treeCalc_1!$F$2,39)</f>
        <v>0</v>
      </c>
    </row>
    <row r="74" spans="4:10" ht="14.5" customHeight="1" x14ac:dyDescent="0.35">
      <c r="I74" s="9">
        <v>7500</v>
      </c>
      <c r="J74" s="3">
        <f>_xll.PTreeNodeValue(treeCalc_1!$F$2,39)</f>
        <v>67921.494999999995</v>
      </c>
    </row>
    <row r="75" spans="4:10" ht="14.5" customHeight="1" x14ac:dyDescent="0.35">
      <c r="H75" s="8">
        <v>0.8</v>
      </c>
      <c r="I75" s="10" t="s">
        <v>45</v>
      </c>
    </row>
    <row r="76" spans="4:10" ht="14.5" customHeight="1" x14ac:dyDescent="0.35">
      <c r="H76" s="5">
        <v>1284.02</v>
      </c>
      <c r="I76" s="11">
        <f>_xll.PTreeNodeValue(treeCalc_1!$F$2,38)</f>
        <v>64246.494999999995</v>
      </c>
    </row>
    <row r="77" spans="4:10" ht="14.5" customHeight="1" x14ac:dyDescent="0.35">
      <c r="I77" s="8">
        <f>1-I73</f>
        <v>0.7</v>
      </c>
      <c r="J77" s="4">
        <f>_xll.PTreeNodeProbability(treeCalc_1!$F$2,40)</f>
        <v>0</v>
      </c>
    </row>
    <row r="78" spans="4:10" ht="14.5" customHeight="1" x14ac:dyDescent="0.35">
      <c r="I78" s="5">
        <v>2250</v>
      </c>
      <c r="J78" s="3">
        <f>_xll.PTreeNodeValue(treeCalc_1!$F$2,40)</f>
        <v>62671.495000000003</v>
      </c>
    </row>
    <row r="79" spans="4:10" ht="14.5" customHeight="1" x14ac:dyDescent="0.35">
      <c r="G79" s="8">
        <v>1</v>
      </c>
      <c r="H79" s="10" t="s">
        <v>46</v>
      </c>
    </row>
    <row r="80" spans="4:10" ht="14.5" customHeight="1" x14ac:dyDescent="0.35">
      <c r="G80" s="5">
        <f>-((22.65-31.6)*0.19*10950)</f>
        <v>18620.475000000006</v>
      </c>
      <c r="H80" s="11">
        <f>_xll.PTreeNodeValue(treeCalc_1!$F$2,37)</f>
        <v>64776.722999999998</v>
      </c>
    </row>
    <row r="81" spans="6:10" ht="14.5" customHeight="1" x14ac:dyDescent="0.35">
      <c r="I81" s="8">
        <v>0.3</v>
      </c>
      <c r="J81" s="4">
        <f>_xll.PTreeNodeProbability(treeCalc_1!$F$2,42)</f>
        <v>0</v>
      </c>
    </row>
    <row r="82" spans="6:10" ht="14.5" customHeight="1" x14ac:dyDescent="0.35">
      <c r="I82" s="9">
        <v>7500</v>
      </c>
      <c r="J82" s="3">
        <f>_xll.PTreeNodeValue(treeCalc_1!$F$2,42)</f>
        <v>70572.635000000009</v>
      </c>
    </row>
    <row r="83" spans="6:10" ht="14.5" customHeight="1" x14ac:dyDescent="0.35">
      <c r="H83" s="8">
        <f>1-H75</f>
        <v>0.19999999999999996</v>
      </c>
      <c r="I83" s="10" t="s">
        <v>45</v>
      </c>
    </row>
    <row r="84" spans="6:10" ht="14.5" customHeight="1" x14ac:dyDescent="0.35">
      <c r="H84" s="5">
        <v>3935.16</v>
      </c>
      <c r="I84" s="11">
        <f>_xll.PTreeNodeValue(treeCalc_1!$F$2,41)</f>
        <v>66897.635000000009</v>
      </c>
    </row>
    <row r="85" spans="6:10" ht="14.5" customHeight="1" x14ac:dyDescent="0.35">
      <c r="I85" s="8">
        <f>1-I81</f>
        <v>0.7</v>
      </c>
      <c r="J85" s="4">
        <f>_xll.PTreeNodeProbability(treeCalc_1!$F$2,43)</f>
        <v>0</v>
      </c>
    </row>
    <row r="86" spans="6:10" ht="14.5" customHeight="1" x14ac:dyDescent="0.35">
      <c r="I86" s="5">
        <v>2250</v>
      </c>
      <c r="J86" s="3">
        <f>_xll.PTreeNodeValue(treeCalc_1!$F$2,43)</f>
        <v>65322.635000000009</v>
      </c>
    </row>
    <row r="87" spans="6:10" ht="14.5" customHeight="1" x14ac:dyDescent="0.35">
      <c r="F87" s="8">
        <v>0.54300000000000004</v>
      </c>
      <c r="G87" s="10" t="s">
        <v>47</v>
      </c>
    </row>
    <row r="88" spans="6:10" ht="14.5" customHeight="1" x14ac:dyDescent="0.35">
      <c r="F88" s="5">
        <v>0</v>
      </c>
      <c r="G88" s="11">
        <f>_xll.PTreeNodeValue(treeCalc_1!$F$2,36)</f>
        <v>64776.722999999998</v>
      </c>
    </row>
    <row r="89" spans="6:10" ht="14.5" customHeight="1" x14ac:dyDescent="0.35">
      <c r="I89" s="8">
        <v>0.3</v>
      </c>
      <c r="J89" s="4">
        <f>_xll.PTreeNodeProbability(treeCalc_1!$F$2,46)</f>
        <v>0</v>
      </c>
    </row>
    <row r="90" spans="6:10" ht="14.5" customHeight="1" x14ac:dyDescent="0.35">
      <c r="I90" s="9">
        <v>7500</v>
      </c>
      <c r="J90" s="3">
        <f>_xll.PTreeNodeValue(treeCalc_1!$F$2,46)</f>
        <v>49301.02</v>
      </c>
    </row>
    <row r="91" spans="6:10" ht="14.5" customHeight="1" x14ac:dyDescent="0.35">
      <c r="H91" s="8">
        <v>0.8</v>
      </c>
      <c r="I91" s="10" t="s">
        <v>45</v>
      </c>
    </row>
    <row r="92" spans="6:10" ht="14.5" customHeight="1" x14ac:dyDescent="0.35">
      <c r="H92" s="5">
        <v>1284.02</v>
      </c>
      <c r="I92" s="11">
        <f>_xll.PTreeNodeValue(treeCalc_1!$F$2,45)</f>
        <v>45626.02</v>
      </c>
    </row>
    <row r="93" spans="6:10" ht="14.5" customHeight="1" x14ac:dyDescent="0.35">
      <c r="I93" s="8">
        <f>1-I89</f>
        <v>0.7</v>
      </c>
      <c r="J93" s="4">
        <f>_xll.PTreeNodeProbability(treeCalc_1!$F$2,47)</f>
        <v>0</v>
      </c>
    </row>
    <row r="94" spans="6:10" ht="14.5" customHeight="1" x14ac:dyDescent="0.35">
      <c r="I94" s="5">
        <v>2250</v>
      </c>
      <c r="J94" s="3">
        <f>_xll.PTreeNodeValue(treeCalc_1!$F$2,47)</f>
        <v>44051.02</v>
      </c>
    </row>
    <row r="95" spans="6:10" ht="14.5" customHeight="1" x14ac:dyDescent="0.35">
      <c r="G95" s="8">
        <v>0</v>
      </c>
      <c r="H95" s="10" t="s">
        <v>46</v>
      </c>
    </row>
    <row r="96" spans="6:10" ht="14.5" customHeight="1" x14ac:dyDescent="0.35">
      <c r="G96" s="5">
        <v>0</v>
      </c>
      <c r="H96" s="11">
        <f>_xll.PTreeNodeValue(treeCalc_1!$F$2,44)</f>
        <v>46156.248</v>
      </c>
    </row>
    <row r="97" spans="5:10" ht="14.5" customHeight="1" x14ac:dyDescent="0.35">
      <c r="I97" s="8">
        <v>0.3</v>
      </c>
      <c r="J97" s="4">
        <f>_xll.PTreeNodeProbability(treeCalc_1!$F$2,49)</f>
        <v>0</v>
      </c>
    </row>
    <row r="98" spans="5:10" ht="14.5" customHeight="1" x14ac:dyDescent="0.35">
      <c r="I98" s="9">
        <v>7500</v>
      </c>
      <c r="J98" s="3">
        <f>_xll.PTreeNodeValue(treeCalc_1!$F$2,49)</f>
        <v>51952.160000000003</v>
      </c>
    </row>
    <row r="99" spans="5:10" ht="14.5" customHeight="1" x14ac:dyDescent="0.35">
      <c r="H99" s="8">
        <f>1-H91</f>
        <v>0.19999999999999996</v>
      </c>
      <c r="I99" s="10" t="s">
        <v>45</v>
      </c>
    </row>
    <row r="100" spans="5:10" ht="14.5" customHeight="1" x14ac:dyDescent="0.35">
      <c r="H100" s="5">
        <v>3935.16</v>
      </c>
      <c r="I100" s="11">
        <f>_xll.PTreeNodeValue(treeCalc_1!$F$2,48)</f>
        <v>48277.16</v>
      </c>
    </row>
    <row r="101" spans="5:10" ht="14.5" customHeight="1" x14ac:dyDescent="0.35">
      <c r="I101" s="8">
        <f>1-I97</f>
        <v>0.7</v>
      </c>
      <c r="J101" s="4">
        <f>_xll.PTreeNodeProbability(treeCalc_1!$F$2,50)</f>
        <v>0</v>
      </c>
    </row>
    <row r="102" spans="5:10" ht="14.5" customHeight="1" x14ac:dyDescent="0.35">
      <c r="I102" s="5">
        <v>2250</v>
      </c>
      <c r="J102" s="3">
        <f>_xll.PTreeNodeValue(treeCalc_1!$F$2,50)</f>
        <v>46702.16</v>
      </c>
    </row>
    <row r="103" spans="5:10" ht="14.5" customHeight="1" x14ac:dyDescent="0.35">
      <c r="E103" s="8">
        <f>1-E39</f>
        <v>0.42500000000000004</v>
      </c>
      <c r="F103" s="10" t="s">
        <v>48</v>
      </c>
    </row>
    <row r="104" spans="5:10" ht="14.5" customHeight="1" x14ac:dyDescent="0.35">
      <c r="E104" s="5">
        <v>0</v>
      </c>
      <c r="F104" s="11">
        <f>_xll.PTreeNodeValue(treeCalc_1!$F$2,35)</f>
        <v>51560.762849999999</v>
      </c>
    </row>
    <row r="105" spans="5:10" ht="14.5" customHeight="1" x14ac:dyDescent="0.35">
      <c r="I105" s="8">
        <v>0.3</v>
      </c>
      <c r="J105" s="4">
        <f>_xll.PTreeNodeProbability(treeCalc_1!$F$2,54)</f>
        <v>0</v>
      </c>
    </row>
    <row r="106" spans="5:10" ht="14.5" customHeight="1" x14ac:dyDescent="0.35">
      <c r="I106" s="9">
        <v>7500</v>
      </c>
      <c r="J106" s="3">
        <f>_xll.PTreeNodeValue(treeCalc_1!$F$2,54)</f>
        <v>49301.02</v>
      </c>
    </row>
    <row r="107" spans="5:10" ht="14.5" customHeight="1" x14ac:dyDescent="0.35">
      <c r="H107" s="8">
        <v>0.8</v>
      </c>
      <c r="I107" s="10" t="s">
        <v>45</v>
      </c>
    </row>
    <row r="108" spans="5:10" ht="14.5" customHeight="1" x14ac:dyDescent="0.35">
      <c r="H108" s="5">
        <v>1284.02</v>
      </c>
      <c r="I108" s="11">
        <f>_xll.PTreeNodeValue(treeCalc_1!$F$2,53)</f>
        <v>45626.02</v>
      </c>
    </row>
    <row r="109" spans="5:10" ht="14.5" customHeight="1" x14ac:dyDescent="0.35">
      <c r="I109" s="8">
        <f>1-I105</f>
        <v>0.7</v>
      </c>
      <c r="J109" s="4">
        <f>_xll.PTreeNodeProbability(treeCalc_1!$F$2,55)</f>
        <v>0</v>
      </c>
    </row>
    <row r="110" spans="5:10" ht="14.5" customHeight="1" x14ac:dyDescent="0.35">
      <c r="I110" s="5">
        <v>2250</v>
      </c>
      <c r="J110" s="3">
        <f>_xll.PTreeNodeValue(treeCalc_1!$F$2,55)</f>
        <v>44051.02</v>
      </c>
    </row>
    <row r="111" spans="5:10" ht="14.5" customHeight="1" x14ac:dyDescent="0.35">
      <c r="G111" s="8">
        <v>0</v>
      </c>
      <c r="H111" s="10" t="s">
        <v>46</v>
      </c>
    </row>
    <row r="112" spans="5:10" ht="14.5" customHeight="1" x14ac:dyDescent="0.35">
      <c r="G112" s="5">
        <v>0</v>
      </c>
      <c r="H112" s="11">
        <f>_xll.PTreeNodeValue(treeCalc_1!$F$2,52)</f>
        <v>46156.248</v>
      </c>
    </row>
    <row r="113" spans="6:10" ht="14.5" customHeight="1" x14ac:dyDescent="0.35">
      <c r="I113" s="8">
        <v>0.3</v>
      </c>
      <c r="J113" s="4">
        <f>_xll.PTreeNodeProbability(treeCalc_1!$F$2,57)</f>
        <v>0</v>
      </c>
    </row>
    <row r="114" spans="6:10" ht="14.5" customHeight="1" x14ac:dyDescent="0.35">
      <c r="I114" s="9">
        <v>7500</v>
      </c>
      <c r="J114" s="3">
        <f>_xll.PTreeNodeValue(treeCalc_1!$F$2,57)</f>
        <v>51952.160000000003</v>
      </c>
    </row>
    <row r="115" spans="6:10" ht="14.5" customHeight="1" x14ac:dyDescent="0.35">
      <c r="H115" s="8">
        <f>1-H107</f>
        <v>0.19999999999999996</v>
      </c>
      <c r="I115" s="10" t="s">
        <v>45</v>
      </c>
    </row>
    <row r="116" spans="6:10" ht="14.5" customHeight="1" x14ac:dyDescent="0.35">
      <c r="H116" s="5">
        <v>3935.16</v>
      </c>
      <c r="I116" s="11">
        <f>_xll.PTreeNodeValue(treeCalc_1!$F$2,56)</f>
        <v>48277.16</v>
      </c>
    </row>
    <row r="117" spans="6:10" ht="14.5" customHeight="1" x14ac:dyDescent="0.35">
      <c r="I117" s="8">
        <f>1-I113</f>
        <v>0.7</v>
      </c>
      <c r="J117" s="4">
        <f>_xll.PTreeNodeProbability(treeCalc_1!$F$2,58)</f>
        <v>0</v>
      </c>
    </row>
    <row r="118" spans="6:10" ht="14.5" customHeight="1" x14ac:dyDescent="0.35">
      <c r="I118" s="5">
        <v>2250</v>
      </c>
      <c r="J118" s="3">
        <f>_xll.PTreeNodeValue(treeCalc_1!$F$2,58)</f>
        <v>46702.16</v>
      </c>
    </row>
    <row r="119" spans="6:10" ht="14.5" customHeight="1" x14ac:dyDescent="0.35">
      <c r="F119" s="8">
        <f>1-F87</f>
        <v>0.45699999999999996</v>
      </c>
      <c r="G119" s="10" t="s">
        <v>47</v>
      </c>
    </row>
    <row r="120" spans="6:10" ht="14.5" customHeight="1" x14ac:dyDescent="0.35">
      <c r="F120" s="5">
        <v>0</v>
      </c>
      <c r="G120" s="11">
        <f>_xll.PTreeNodeValue(treeCalc_1!$F$2,51)</f>
        <v>35857.773000000001</v>
      </c>
    </row>
    <row r="121" spans="6:10" ht="14.5" customHeight="1" x14ac:dyDescent="0.35">
      <c r="I121" s="8">
        <v>0.3</v>
      </c>
      <c r="J121" s="4">
        <f>_xll.PTreeNodeProbability(treeCalc_1!$F$2,61)</f>
        <v>0</v>
      </c>
    </row>
    <row r="122" spans="6:10" ht="14.5" customHeight="1" x14ac:dyDescent="0.35">
      <c r="I122" s="9">
        <v>7500</v>
      </c>
      <c r="J122" s="3">
        <f>_xll.PTreeNodeValue(treeCalc_1!$F$2,61)</f>
        <v>39002.544999999998</v>
      </c>
    </row>
    <row r="123" spans="6:10" ht="14.5" customHeight="1" x14ac:dyDescent="0.35">
      <c r="H123" s="8">
        <v>0.8</v>
      </c>
      <c r="I123" s="10" t="s">
        <v>45</v>
      </c>
    </row>
    <row r="124" spans="6:10" ht="14.5" customHeight="1" x14ac:dyDescent="0.35">
      <c r="H124" s="5">
        <v>1284.02</v>
      </c>
      <c r="I124" s="11">
        <f>_xll.PTreeNodeValue(treeCalc_1!$F$2,60)</f>
        <v>35327.544999999998</v>
      </c>
    </row>
    <row r="125" spans="6:10" ht="14.5" customHeight="1" x14ac:dyDescent="0.35">
      <c r="I125" s="8">
        <f>1-I121</f>
        <v>0.7</v>
      </c>
      <c r="J125" s="4">
        <f>_xll.PTreeNodeProbability(treeCalc_1!$F$2,62)</f>
        <v>0</v>
      </c>
    </row>
    <row r="126" spans="6:10" ht="14.5" customHeight="1" x14ac:dyDescent="0.35">
      <c r="I126" s="5">
        <v>2250</v>
      </c>
      <c r="J126" s="3">
        <f>_xll.PTreeNodeValue(treeCalc_1!$F$2,62)</f>
        <v>33752.544999999998</v>
      </c>
    </row>
    <row r="127" spans="6:10" ht="14.5" customHeight="1" x14ac:dyDescent="0.35">
      <c r="G127" s="8">
        <v>1</v>
      </c>
      <c r="H127" s="10" t="s">
        <v>46</v>
      </c>
    </row>
    <row r="128" spans="6:10" ht="14.5" customHeight="1" x14ac:dyDescent="0.35">
      <c r="G128" s="5">
        <f>-((22.65-17.7)*0.19*10950)</f>
        <v>-10298.474999999999</v>
      </c>
      <c r="H128" s="11">
        <f>_xll.PTreeNodeValue(treeCalc_1!$F$2,59)</f>
        <v>35857.773000000001</v>
      </c>
    </row>
    <row r="129" spans="3:10" ht="14.5" customHeight="1" x14ac:dyDescent="0.35">
      <c r="I129" s="8">
        <v>0.3</v>
      </c>
      <c r="J129" s="4">
        <f>_xll.PTreeNodeProbability(treeCalc_1!$F$2,64)</f>
        <v>0</v>
      </c>
    </row>
    <row r="130" spans="3:10" ht="14.5" customHeight="1" x14ac:dyDescent="0.35">
      <c r="I130" s="9">
        <v>7500</v>
      </c>
      <c r="J130" s="3">
        <f>_xll.PTreeNodeValue(treeCalc_1!$F$2,64)</f>
        <v>41653.684999999998</v>
      </c>
    </row>
    <row r="131" spans="3:10" ht="14.5" customHeight="1" x14ac:dyDescent="0.35">
      <c r="H131" s="8">
        <f>1-H123</f>
        <v>0.19999999999999996</v>
      </c>
      <c r="I131" s="10" t="s">
        <v>45</v>
      </c>
    </row>
    <row r="132" spans="3:10" ht="14.5" customHeight="1" x14ac:dyDescent="0.35">
      <c r="H132" s="5">
        <v>3935.16</v>
      </c>
      <c r="I132" s="11">
        <f>_xll.PTreeNodeValue(treeCalc_1!$F$2,63)</f>
        <v>37978.684999999998</v>
      </c>
    </row>
    <row r="133" spans="3:10" ht="14.5" customHeight="1" x14ac:dyDescent="0.35">
      <c r="I133" s="8">
        <f>1-I129</f>
        <v>0.7</v>
      </c>
      <c r="J133" s="4">
        <f>_xll.PTreeNodeProbability(treeCalc_1!$F$2,65)</f>
        <v>0</v>
      </c>
    </row>
    <row r="134" spans="3:10" ht="14.5" customHeight="1" x14ac:dyDescent="0.35">
      <c r="I134" s="5">
        <v>2250</v>
      </c>
      <c r="J134" s="3">
        <f>_xll.PTreeNodeValue(treeCalc_1!$F$2,65)</f>
        <v>36403.684999999998</v>
      </c>
    </row>
    <row r="135" spans="3:10" ht="14.5" customHeight="1" x14ac:dyDescent="0.35">
      <c r="C135" s="7" t="b">
        <f>_xll.PTreeNodeDecision(treeCalc_1!$F$2,2)</f>
        <v>1</v>
      </c>
      <c r="D135" s="12" t="s">
        <v>50</v>
      </c>
    </row>
    <row r="136" spans="3:10" ht="14.5" customHeight="1" x14ac:dyDescent="0.35">
      <c r="C136" s="5">
        <v>0</v>
      </c>
      <c r="D136" s="6">
        <f>_xll.PTreeNodeValue(treeCalc_1!$F$2,2)</f>
        <v>17371.007850000002</v>
      </c>
    </row>
    <row r="137" spans="3:10" ht="14.5" customHeight="1" x14ac:dyDescent="0.35">
      <c r="I137" s="8">
        <v>0.3</v>
      </c>
      <c r="J137" s="4">
        <f>_xll.PTreeNodeProbability(treeCalc_1!$F$2,71)</f>
        <v>7.4934000000000001E-2</v>
      </c>
    </row>
    <row r="138" spans="3:10" ht="14.5" customHeight="1" x14ac:dyDescent="0.35">
      <c r="I138" s="9">
        <v>7500</v>
      </c>
      <c r="J138" s="3">
        <f>_xll.PTreeNodeValue(treeCalc_1!$F$2,71)</f>
        <v>27719.095000000005</v>
      </c>
    </row>
    <row r="139" spans="3:10" ht="14.5" customHeight="1" x14ac:dyDescent="0.35">
      <c r="H139" s="8">
        <v>0.8</v>
      </c>
      <c r="I139" s="10" t="s">
        <v>45</v>
      </c>
    </row>
    <row r="140" spans="3:10" ht="14.5" customHeight="1" x14ac:dyDescent="0.35">
      <c r="H140" s="5">
        <v>1284.02</v>
      </c>
      <c r="I140" s="11">
        <f>_xll.PTreeNodeValue(treeCalc_1!$F$2,70)</f>
        <v>24044.095000000001</v>
      </c>
    </row>
    <row r="141" spans="3:10" ht="14.5" customHeight="1" x14ac:dyDescent="0.35">
      <c r="I141" s="8">
        <f>1-I137</f>
        <v>0.7</v>
      </c>
      <c r="J141" s="4">
        <f>_xll.PTreeNodeProbability(treeCalc_1!$F$2,72)</f>
        <v>0.174846</v>
      </c>
    </row>
    <row r="142" spans="3:10" ht="14.5" customHeight="1" x14ac:dyDescent="0.35">
      <c r="I142" s="5">
        <v>2250</v>
      </c>
      <c r="J142" s="3">
        <f>_xll.PTreeNodeValue(treeCalc_1!$F$2,72)</f>
        <v>22469.095000000005</v>
      </c>
    </row>
    <row r="143" spans="3:10" ht="14.5" customHeight="1" x14ac:dyDescent="0.35">
      <c r="G143" s="8">
        <v>1</v>
      </c>
      <c r="H143" s="10" t="s">
        <v>46</v>
      </c>
    </row>
    <row r="144" spans="3:10" ht="14.5" customHeight="1" x14ac:dyDescent="0.35">
      <c r="G144" s="5">
        <f>-((29.45-31.6)*0.19*10950)</f>
        <v>4473.0750000000044</v>
      </c>
      <c r="H144" s="11">
        <f>_xll.PTreeNodeValue(treeCalc_1!$F$2,69)</f>
        <v>24574.323</v>
      </c>
    </row>
    <row r="145" spans="6:10" ht="14.5" customHeight="1" x14ac:dyDescent="0.35">
      <c r="I145" s="8">
        <v>0.3</v>
      </c>
      <c r="J145" s="4">
        <f>_xll.PTreeNodeProbability(treeCalc_1!$F$2,74)</f>
        <v>1.8733499999999993E-2</v>
      </c>
    </row>
    <row r="146" spans="6:10" ht="14.5" customHeight="1" x14ac:dyDescent="0.35">
      <c r="I146" s="9">
        <v>7500</v>
      </c>
      <c r="J146" s="3">
        <f>_xll.PTreeNodeValue(treeCalc_1!$F$2,74)</f>
        <v>30370.235000000004</v>
      </c>
    </row>
    <row r="147" spans="6:10" ht="14.5" customHeight="1" x14ac:dyDescent="0.35">
      <c r="H147" s="8">
        <f>1-H139</f>
        <v>0.19999999999999996</v>
      </c>
      <c r="I147" s="10" t="s">
        <v>45</v>
      </c>
    </row>
    <row r="148" spans="6:10" ht="14.5" customHeight="1" x14ac:dyDescent="0.35">
      <c r="H148" s="5">
        <v>3935.16</v>
      </c>
      <c r="I148" s="11">
        <f>_xll.PTreeNodeValue(treeCalc_1!$F$2,73)</f>
        <v>26695.235000000004</v>
      </c>
    </row>
    <row r="149" spans="6:10" ht="14.5" customHeight="1" x14ac:dyDescent="0.35">
      <c r="I149" s="8">
        <f>1-I145</f>
        <v>0.7</v>
      </c>
      <c r="J149" s="4">
        <f>_xll.PTreeNodeProbability(treeCalc_1!$F$2,75)</f>
        <v>4.3711499999999986E-2</v>
      </c>
    </row>
    <row r="150" spans="6:10" ht="14.5" customHeight="1" x14ac:dyDescent="0.35">
      <c r="I150" s="5">
        <v>2250</v>
      </c>
      <c r="J150" s="3">
        <f>_xll.PTreeNodeValue(treeCalc_1!$F$2,75)</f>
        <v>25120.235000000004</v>
      </c>
    </row>
    <row r="151" spans="6:10" ht="14.5" customHeight="1" x14ac:dyDescent="0.35">
      <c r="F151" s="8">
        <v>0.54300000000000004</v>
      </c>
      <c r="G151" s="10" t="s">
        <v>47</v>
      </c>
    </row>
    <row r="152" spans="6:10" ht="14.5" customHeight="1" x14ac:dyDescent="0.35">
      <c r="F152" s="5">
        <v>0</v>
      </c>
      <c r="G152" s="11">
        <f>_xll.PTreeNodeValue(treeCalc_1!$F$2,68)</f>
        <v>24574.323</v>
      </c>
    </row>
    <row r="153" spans="6:10" ht="14.5" customHeight="1" x14ac:dyDescent="0.35">
      <c r="I153" s="8">
        <v>0.3</v>
      </c>
      <c r="J153" s="4">
        <f>_xll.PTreeNodeProbability(treeCalc_1!$F$2,78)</f>
        <v>0</v>
      </c>
    </row>
    <row r="154" spans="6:10" ht="14.5" customHeight="1" x14ac:dyDescent="0.35">
      <c r="I154" s="9">
        <v>7500</v>
      </c>
      <c r="J154" s="3">
        <f>_xll.PTreeNodeValue(treeCalc_1!$F$2,78)</f>
        <v>23246.02</v>
      </c>
    </row>
    <row r="155" spans="6:10" ht="14.5" customHeight="1" x14ac:dyDescent="0.35">
      <c r="H155" s="8">
        <v>0.8</v>
      </c>
      <c r="I155" s="10" t="s">
        <v>45</v>
      </c>
    </row>
    <row r="156" spans="6:10" ht="14.5" customHeight="1" x14ac:dyDescent="0.35">
      <c r="H156" s="5">
        <v>1284.02</v>
      </c>
      <c r="I156" s="11">
        <f>_xll.PTreeNodeValue(treeCalc_1!$F$2,77)</f>
        <v>19571.02</v>
      </c>
    </row>
    <row r="157" spans="6:10" ht="14.5" customHeight="1" x14ac:dyDescent="0.35">
      <c r="I157" s="8">
        <f>1-I153</f>
        <v>0.7</v>
      </c>
      <c r="J157" s="4">
        <f>_xll.PTreeNodeProbability(treeCalc_1!$F$2,79)</f>
        <v>0</v>
      </c>
    </row>
    <row r="158" spans="6:10" ht="14.5" customHeight="1" x14ac:dyDescent="0.35">
      <c r="I158" s="5">
        <v>2250</v>
      </c>
      <c r="J158" s="3">
        <f>_xll.PTreeNodeValue(treeCalc_1!$F$2,79)</f>
        <v>17996.02</v>
      </c>
    </row>
    <row r="159" spans="6:10" ht="14.5" customHeight="1" x14ac:dyDescent="0.35">
      <c r="G159" s="8">
        <v>0</v>
      </c>
      <c r="H159" s="10" t="s">
        <v>46</v>
      </c>
    </row>
    <row r="160" spans="6:10" ht="14.5" customHeight="1" x14ac:dyDescent="0.35">
      <c r="G160" s="5">
        <v>0</v>
      </c>
      <c r="H160" s="11">
        <f>_xll.PTreeNodeValue(treeCalc_1!$F$2,76)</f>
        <v>20101.248</v>
      </c>
    </row>
    <row r="161" spans="5:10" ht="14.5" customHeight="1" x14ac:dyDescent="0.35">
      <c r="I161" s="8">
        <v>0.3</v>
      </c>
      <c r="J161" s="4">
        <f>_xll.PTreeNodeProbability(treeCalc_1!$F$2,81)</f>
        <v>0</v>
      </c>
    </row>
    <row r="162" spans="5:10" ht="14.5" customHeight="1" x14ac:dyDescent="0.35">
      <c r="I162" s="9">
        <v>7500</v>
      </c>
      <c r="J162" s="3">
        <f>_xll.PTreeNodeValue(treeCalc_1!$F$2,81)</f>
        <v>25897.16</v>
      </c>
    </row>
    <row r="163" spans="5:10" ht="14.5" customHeight="1" x14ac:dyDescent="0.35">
      <c r="H163" s="8">
        <f>1-H155</f>
        <v>0.19999999999999996</v>
      </c>
      <c r="I163" s="10" t="s">
        <v>45</v>
      </c>
    </row>
    <row r="164" spans="5:10" ht="14.5" customHeight="1" x14ac:dyDescent="0.35">
      <c r="H164" s="5">
        <v>3935.16</v>
      </c>
      <c r="I164" s="11">
        <f>_xll.PTreeNodeValue(treeCalc_1!$F$2,80)</f>
        <v>22222.159999999996</v>
      </c>
    </row>
    <row r="165" spans="5:10" ht="14.5" customHeight="1" x14ac:dyDescent="0.35">
      <c r="I165" s="8">
        <f>1-I161</f>
        <v>0.7</v>
      </c>
      <c r="J165" s="4">
        <f>_xll.PTreeNodeProbability(treeCalc_1!$F$2,82)</f>
        <v>0</v>
      </c>
    </row>
    <row r="166" spans="5:10" ht="14.5" customHeight="1" x14ac:dyDescent="0.35">
      <c r="I166" s="5">
        <v>2250</v>
      </c>
      <c r="J166" s="3">
        <f>_xll.PTreeNodeValue(treeCalc_1!$F$2,82)</f>
        <v>20647.16</v>
      </c>
    </row>
    <row r="167" spans="5:10" ht="14.5" customHeight="1" x14ac:dyDescent="0.35">
      <c r="E167" s="8">
        <v>0.57499999999999996</v>
      </c>
      <c r="F167" s="10" t="s">
        <v>48</v>
      </c>
    </row>
    <row r="168" spans="5:10" ht="14.5" customHeight="1" x14ac:dyDescent="0.35">
      <c r="E168" s="5">
        <v>0</v>
      </c>
      <c r="F168" s="11">
        <f>_xll.PTreeNodeValue(treeCalc_1!$F$2,67)</f>
        <v>11358.362850000001</v>
      </c>
    </row>
    <row r="169" spans="5:10" ht="14.5" customHeight="1" x14ac:dyDescent="0.35">
      <c r="I169" s="8">
        <v>0.3</v>
      </c>
      <c r="J169" s="4">
        <f>_xll.PTreeNodeProbability(treeCalc_1!$F$2,86)</f>
        <v>0</v>
      </c>
    </row>
    <row r="170" spans="5:10" ht="14.5" customHeight="1" x14ac:dyDescent="0.35">
      <c r="I170" s="9">
        <v>7500</v>
      </c>
      <c r="J170" s="3">
        <f>_xll.PTreeNodeValue(treeCalc_1!$F$2,86)</f>
        <v>23246.02</v>
      </c>
    </row>
    <row r="171" spans="5:10" ht="14.5" customHeight="1" x14ac:dyDescent="0.35">
      <c r="H171" s="8">
        <v>0.8</v>
      </c>
      <c r="I171" s="10" t="s">
        <v>45</v>
      </c>
    </row>
    <row r="172" spans="5:10" ht="14.5" customHeight="1" x14ac:dyDescent="0.35">
      <c r="H172" s="5">
        <v>1284.02</v>
      </c>
      <c r="I172" s="11">
        <f>_xll.PTreeNodeValue(treeCalc_1!$F$2,85)</f>
        <v>19571.02</v>
      </c>
    </row>
    <row r="173" spans="5:10" ht="14.5" customHeight="1" x14ac:dyDescent="0.35">
      <c r="I173" s="8">
        <f>1-I169</f>
        <v>0.7</v>
      </c>
      <c r="J173" s="4">
        <f>_xll.PTreeNodeProbability(treeCalc_1!$F$2,87)</f>
        <v>0</v>
      </c>
    </row>
    <row r="174" spans="5:10" ht="14.5" customHeight="1" x14ac:dyDescent="0.35">
      <c r="I174" s="5">
        <v>2250</v>
      </c>
      <c r="J174" s="3">
        <f>_xll.PTreeNodeValue(treeCalc_1!$F$2,87)</f>
        <v>17996.02</v>
      </c>
    </row>
    <row r="175" spans="5:10" ht="14.5" customHeight="1" x14ac:dyDescent="0.35">
      <c r="G175" s="8">
        <v>0</v>
      </c>
      <c r="H175" s="10" t="s">
        <v>46</v>
      </c>
    </row>
    <row r="176" spans="5:10" ht="14.5" customHeight="1" x14ac:dyDescent="0.35">
      <c r="G176" s="5">
        <v>0</v>
      </c>
      <c r="H176" s="11">
        <f>_xll.PTreeNodeValue(treeCalc_1!$F$2,84)</f>
        <v>20101.248</v>
      </c>
    </row>
    <row r="177" spans="6:10" ht="14.5" customHeight="1" x14ac:dyDescent="0.35">
      <c r="I177" s="8">
        <v>0.3</v>
      </c>
      <c r="J177" s="4">
        <f>_xll.PTreeNodeProbability(treeCalc_1!$F$2,89)</f>
        <v>0</v>
      </c>
    </row>
    <row r="178" spans="6:10" ht="14.5" customHeight="1" x14ac:dyDescent="0.35">
      <c r="I178" s="9">
        <v>7500</v>
      </c>
      <c r="J178" s="3">
        <f>_xll.PTreeNodeValue(treeCalc_1!$F$2,89)</f>
        <v>25897.16</v>
      </c>
    </row>
    <row r="179" spans="6:10" ht="14.5" customHeight="1" x14ac:dyDescent="0.35">
      <c r="H179" s="8">
        <f>1-H171</f>
        <v>0.19999999999999996</v>
      </c>
      <c r="I179" s="10" t="s">
        <v>45</v>
      </c>
    </row>
    <row r="180" spans="6:10" ht="14.5" customHeight="1" x14ac:dyDescent="0.35">
      <c r="H180" s="5">
        <v>3935.16</v>
      </c>
      <c r="I180" s="11">
        <f>_xll.PTreeNodeValue(treeCalc_1!$F$2,88)</f>
        <v>22222.159999999996</v>
      </c>
    </row>
    <row r="181" spans="6:10" ht="14.5" customHeight="1" x14ac:dyDescent="0.35">
      <c r="I181" s="8">
        <f>1-I177</f>
        <v>0.7</v>
      </c>
      <c r="J181" s="4">
        <f>_xll.PTreeNodeProbability(treeCalc_1!$F$2,90)</f>
        <v>0</v>
      </c>
    </row>
    <row r="182" spans="6:10" ht="14.5" customHeight="1" x14ac:dyDescent="0.35">
      <c r="I182" s="5">
        <v>2250</v>
      </c>
      <c r="J182" s="3">
        <f>_xll.PTreeNodeValue(treeCalc_1!$F$2,90)</f>
        <v>20647.16</v>
      </c>
    </row>
    <row r="183" spans="6:10" ht="14.5" customHeight="1" x14ac:dyDescent="0.35">
      <c r="F183" s="8">
        <f>1-F151</f>
        <v>0.45699999999999996</v>
      </c>
      <c r="G183" s="10" t="s">
        <v>47</v>
      </c>
    </row>
    <row r="184" spans="6:10" ht="14.5" customHeight="1" x14ac:dyDescent="0.35">
      <c r="F184" s="5">
        <v>0</v>
      </c>
      <c r="G184" s="11">
        <f>_xll.PTreeNodeValue(treeCalc_1!$F$2,83)</f>
        <v>-4344.6270000000004</v>
      </c>
    </row>
    <row r="185" spans="6:10" ht="14.5" customHeight="1" x14ac:dyDescent="0.35">
      <c r="I185" s="8">
        <v>0.3</v>
      </c>
      <c r="J185" s="4">
        <f>_xll.PTreeNodeProbability(treeCalc_1!$F$2,93)</f>
        <v>6.3065999999999997E-2</v>
      </c>
    </row>
    <row r="186" spans="6:10" ht="14.5" customHeight="1" x14ac:dyDescent="0.35">
      <c r="I186" s="9">
        <v>7500</v>
      </c>
      <c r="J186" s="3">
        <f>_xll.PTreeNodeValue(treeCalc_1!$F$2,93)</f>
        <v>-1199.8549999999996</v>
      </c>
    </row>
    <row r="187" spans="6:10" ht="14.5" customHeight="1" x14ac:dyDescent="0.35">
      <c r="H187" s="8">
        <v>0.8</v>
      </c>
      <c r="I187" s="10" t="s">
        <v>45</v>
      </c>
    </row>
    <row r="188" spans="6:10" ht="14.5" customHeight="1" x14ac:dyDescent="0.35">
      <c r="H188" s="5">
        <v>1284.02</v>
      </c>
      <c r="I188" s="11">
        <f>_xll.PTreeNodeValue(treeCalc_1!$F$2,92)</f>
        <v>-4874.8549999999996</v>
      </c>
    </row>
    <row r="189" spans="6:10" ht="14.5" customHeight="1" x14ac:dyDescent="0.35">
      <c r="I189" s="8">
        <f>1-I185</f>
        <v>0.7</v>
      </c>
      <c r="J189" s="4">
        <f>_xll.PTreeNodeProbability(treeCalc_1!$F$2,94)</f>
        <v>0.14715399999999998</v>
      </c>
    </row>
    <row r="190" spans="6:10" ht="14.5" customHeight="1" x14ac:dyDescent="0.35">
      <c r="I190" s="5">
        <v>2250</v>
      </c>
      <c r="J190" s="3">
        <f>_xll.PTreeNodeValue(treeCalc_1!$F$2,94)</f>
        <v>-6449.8549999999996</v>
      </c>
    </row>
    <row r="191" spans="6:10" ht="14.5" customHeight="1" x14ac:dyDescent="0.35">
      <c r="G191" s="8">
        <v>1</v>
      </c>
      <c r="H191" s="10" t="s">
        <v>46</v>
      </c>
    </row>
    <row r="192" spans="6:10" ht="14.5" customHeight="1" x14ac:dyDescent="0.35">
      <c r="G192" s="5">
        <f>-((29.45-17.7)*0.19*10950)</f>
        <v>-24445.875</v>
      </c>
      <c r="H192" s="11">
        <f>_xll.PTreeNodeValue(treeCalc_1!$F$2,91)</f>
        <v>-4344.6270000000004</v>
      </c>
    </row>
    <row r="193" spans="4:10" ht="14.5" customHeight="1" x14ac:dyDescent="0.35">
      <c r="I193" s="8">
        <v>0.3</v>
      </c>
      <c r="J193" s="4">
        <f>_xll.PTreeNodeProbability(treeCalc_1!$F$2,96)</f>
        <v>1.5766499999999996E-2</v>
      </c>
    </row>
    <row r="194" spans="4:10" ht="14.5" customHeight="1" x14ac:dyDescent="0.35">
      <c r="I194" s="9">
        <v>7500</v>
      </c>
      <c r="J194" s="3">
        <f>_xll.PTreeNodeValue(treeCalc_1!$F$2,96)</f>
        <v>1451.2849999999999</v>
      </c>
    </row>
    <row r="195" spans="4:10" ht="14.5" customHeight="1" x14ac:dyDescent="0.35">
      <c r="H195" s="8">
        <f>1-H187</f>
        <v>0.19999999999999996</v>
      </c>
      <c r="I195" s="10" t="s">
        <v>45</v>
      </c>
    </row>
    <row r="196" spans="4:10" ht="14.5" customHeight="1" x14ac:dyDescent="0.35">
      <c r="H196" s="5">
        <v>3935.16</v>
      </c>
      <c r="I196" s="11">
        <f>_xll.PTreeNodeValue(treeCalc_1!$F$2,95)</f>
        <v>-2223.7150000000001</v>
      </c>
    </row>
    <row r="197" spans="4:10" ht="14.5" customHeight="1" x14ac:dyDescent="0.35">
      <c r="I197" s="8">
        <f>1-I193</f>
        <v>0.7</v>
      </c>
      <c r="J197" s="4">
        <f>_xll.PTreeNodeProbability(treeCalc_1!$F$2,97)</f>
        <v>3.6788499999999988E-2</v>
      </c>
    </row>
    <row r="198" spans="4:10" ht="14.5" customHeight="1" x14ac:dyDescent="0.35">
      <c r="I198" s="5">
        <v>2250</v>
      </c>
      <c r="J198" s="3">
        <f>_xll.PTreeNodeValue(treeCalc_1!$F$2,97)</f>
        <v>-3798.7150000000001</v>
      </c>
    </row>
    <row r="199" spans="4:10" ht="14.5" customHeight="1" x14ac:dyDescent="0.35">
      <c r="D199" s="7" t="b">
        <f>_xll.PTreeNodeDecision(treeCalc_1!$F$2,66)</f>
        <v>1</v>
      </c>
      <c r="E199" s="10" t="s">
        <v>49</v>
      </c>
    </row>
    <row r="200" spans="4:10" ht="14.5" customHeight="1" x14ac:dyDescent="0.35">
      <c r="D200" s="5">
        <f>20660-6198</f>
        <v>14462</v>
      </c>
      <c r="E200" s="11">
        <f>_xll.PTreeNodeValue(treeCalc_1!$F$2,66)</f>
        <v>17371.007850000002</v>
      </c>
    </row>
    <row r="201" spans="4:10" ht="14.5" customHeight="1" x14ac:dyDescent="0.35">
      <c r="I201" s="8">
        <v>0.3</v>
      </c>
      <c r="J201" s="4">
        <f>_xll.PTreeNodeProbability(treeCalc_1!$F$2,102)</f>
        <v>5.5386000000000012E-2</v>
      </c>
    </row>
    <row r="202" spans="4:10" ht="14.5" customHeight="1" x14ac:dyDescent="0.35">
      <c r="I202" s="9">
        <v>7500</v>
      </c>
      <c r="J202" s="3">
        <f>_xll.PTreeNodeValue(treeCalc_1!$F$2,102)</f>
        <v>41866.495000000003</v>
      </c>
    </row>
    <row r="203" spans="4:10" ht="14.5" customHeight="1" x14ac:dyDescent="0.35">
      <c r="H203" s="8">
        <v>0.8</v>
      </c>
      <c r="I203" s="10" t="s">
        <v>45</v>
      </c>
    </row>
    <row r="204" spans="4:10" ht="14.5" customHeight="1" x14ac:dyDescent="0.35">
      <c r="H204" s="5">
        <v>1284.02</v>
      </c>
      <c r="I204" s="11">
        <f>_xll.PTreeNodeValue(treeCalc_1!$F$2,101)</f>
        <v>38191.495000000003</v>
      </c>
    </row>
    <row r="205" spans="4:10" ht="14.5" customHeight="1" x14ac:dyDescent="0.35">
      <c r="I205" s="8">
        <f>1-I201</f>
        <v>0.7</v>
      </c>
      <c r="J205" s="4">
        <f>_xll.PTreeNodeProbability(treeCalc_1!$F$2,103)</f>
        <v>0.12923400000000002</v>
      </c>
    </row>
    <row r="206" spans="4:10" ht="14.5" customHeight="1" x14ac:dyDescent="0.35">
      <c r="I206" s="5">
        <v>2250</v>
      </c>
      <c r="J206" s="3">
        <f>_xll.PTreeNodeValue(treeCalc_1!$F$2,103)</f>
        <v>36616.495000000003</v>
      </c>
    </row>
    <row r="207" spans="4:10" ht="14.5" customHeight="1" x14ac:dyDescent="0.35">
      <c r="G207" s="8">
        <v>1</v>
      </c>
      <c r="H207" s="10" t="s">
        <v>46</v>
      </c>
    </row>
    <row r="208" spans="4:10" ht="14.5" customHeight="1" x14ac:dyDescent="0.35">
      <c r="G208" s="5">
        <f>-((22.65-31.6)*0.19*10950)</f>
        <v>18620.475000000006</v>
      </c>
      <c r="H208" s="11">
        <f>_xll.PTreeNodeValue(treeCalc_1!$F$2,100)</f>
        <v>38721.723000000005</v>
      </c>
    </row>
    <row r="209" spans="6:10" ht="14.5" customHeight="1" x14ac:dyDescent="0.35">
      <c r="I209" s="8">
        <v>0.3</v>
      </c>
      <c r="J209" s="4">
        <f>_xll.PTreeNodeProbability(treeCalc_1!$F$2,105)</f>
        <v>1.3846499999999998E-2</v>
      </c>
    </row>
    <row r="210" spans="6:10" ht="14.5" customHeight="1" x14ac:dyDescent="0.35">
      <c r="I210" s="9">
        <v>7500</v>
      </c>
      <c r="J210" s="3">
        <f>_xll.PTreeNodeValue(treeCalc_1!$F$2,105)</f>
        <v>44517.635000000009</v>
      </c>
    </row>
    <row r="211" spans="6:10" ht="14.5" customHeight="1" x14ac:dyDescent="0.35">
      <c r="H211" s="8">
        <f>1-H203</f>
        <v>0.19999999999999996</v>
      </c>
      <c r="I211" s="10" t="s">
        <v>45</v>
      </c>
    </row>
    <row r="212" spans="6:10" ht="14.5" customHeight="1" x14ac:dyDescent="0.35">
      <c r="H212" s="5">
        <v>3935.16</v>
      </c>
      <c r="I212" s="11">
        <f>_xll.PTreeNodeValue(treeCalc_1!$F$2,104)</f>
        <v>40842.635000000009</v>
      </c>
    </row>
    <row r="213" spans="6:10" ht="14.5" customHeight="1" x14ac:dyDescent="0.35">
      <c r="I213" s="8">
        <f>1-I209</f>
        <v>0.7</v>
      </c>
      <c r="J213" s="4">
        <f>_xll.PTreeNodeProbability(treeCalc_1!$F$2,106)</f>
        <v>3.2308499999999997E-2</v>
      </c>
    </row>
    <row r="214" spans="6:10" ht="14.5" customHeight="1" x14ac:dyDescent="0.35">
      <c r="I214" s="5">
        <v>2250</v>
      </c>
      <c r="J214" s="3">
        <f>_xll.PTreeNodeValue(treeCalc_1!$F$2,106)</f>
        <v>39267.635000000009</v>
      </c>
    </row>
    <row r="215" spans="6:10" ht="14.5" customHeight="1" x14ac:dyDescent="0.35">
      <c r="F215" s="8">
        <v>0.54300000000000004</v>
      </c>
      <c r="G215" s="10" t="s">
        <v>47</v>
      </c>
    </row>
    <row r="216" spans="6:10" ht="14.5" customHeight="1" x14ac:dyDescent="0.35">
      <c r="F216" s="5">
        <v>0</v>
      </c>
      <c r="G216" s="11">
        <f>_xll.PTreeNodeValue(treeCalc_1!$F$2,99)</f>
        <v>38721.723000000005</v>
      </c>
    </row>
    <row r="217" spans="6:10" ht="14.5" customHeight="1" x14ac:dyDescent="0.35">
      <c r="I217" s="8">
        <v>0.3</v>
      </c>
      <c r="J217" s="4">
        <f>_xll.PTreeNodeProbability(treeCalc_1!$F$2,109)</f>
        <v>0</v>
      </c>
    </row>
    <row r="218" spans="6:10" ht="14.5" customHeight="1" x14ac:dyDescent="0.35">
      <c r="I218" s="9">
        <v>7500</v>
      </c>
      <c r="J218" s="3">
        <f>_xll.PTreeNodeValue(treeCalc_1!$F$2,109)</f>
        <v>23246.02</v>
      </c>
    </row>
    <row r="219" spans="6:10" ht="14.5" customHeight="1" x14ac:dyDescent="0.35">
      <c r="H219" s="8">
        <v>0.8</v>
      </c>
      <c r="I219" s="10" t="s">
        <v>45</v>
      </c>
    </row>
    <row r="220" spans="6:10" ht="14.5" customHeight="1" x14ac:dyDescent="0.35">
      <c r="H220" s="5">
        <v>1284.02</v>
      </c>
      <c r="I220" s="11">
        <f>_xll.PTreeNodeValue(treeCalc_1!$F$2,108)</f>
        <v>19571.02</v>
      </c>
    </row>
    <row r="221" spans="6:10" ht="14.5" customHeight="1" x14ac:dyDescent="0.35">
      <c r="I221" s="8">
        <f>1-I217</f>
        <v>0.7</v>
      </c>
      <c r="J221" s="4">
        <f>_xll.PTreeNodeProbability(treeCalc_1!$F$2,110)</f>
        <v>0</v>
      </c>
    </row>
    <row r="222" spans="6:10" ht="14.5" customHeight="1" x14ac:dyDescent="0.35">
      <c r="I222" s="5">
        <v>2250</v>
      </c>
      <c r="J222" s="3">
        <f>_xll.PTreeNodeValue(treeCalc_1!$F$2,110)</f>
        <v>17996.02</v>
      </c>
    </row>
    <row r="223" spans="6:10" ht="14.5" customHeight="1" x14ac:dyDescent="0.35">
      <c r="G223" s="8">
        <v>0</v>
      </c>
      <c r="H223" s="10" t="s">
        <v>46</v>
      </c>
    </row>
    <row r="224" spans="6:10" ht="14.5" customHeight="1" x14ac:dyDescent="0.35">
      <c r="G224" s="5">
        <v>0</v>
      </c>
      <c r="H224" s="11">
        <f>_xll.PTreeNodeValue(treeCalc_1!$F$2,107)</f>
        <v>20101.248</v>
      </c>
    </row>
    <row r="225" spans="5:10" ht="14.5" customHeight="1" x14ac:dyDescent="0.35">
      <c r="I225" s="8">
        <v>0.3</v>
      </c>
      <c r="J225" s="4">
        <f>_xll.PTreeNodeProbability(treeCalc_1!$F$2,112)</f>
        <v>0</v>
      </c>
    </row>
    <row r="226" spans="5:10" ht="14.5" customHeight="1" x14ac:dyDescent="0.35">
      <c r="I226" s="9">
        <v>7500</v>
      </c>
      <c r="J226" s="3">
        <f>_xll.PTreeNodeValue(treeCalc_1!$F$2,112)</f>
        <v>25897.16</v>
      </c>
    </row>
    <row r="227" spans="5:10" ht="14.5" customHeight="1" x14ac:dyDescent="0.35">
      <c r="H227" s="8">
        <f>1-H219</f>
        <v>0.19999999999999996</v>
      </c>
      <c r="I227" s="10" t="s">
        <v>45</v>
      </c>
    </row>
    <row r="228" spans="5:10" ht="14.5" customHeight="1" x14ac:dyDescent="0.35">
      <c r="H228" s="5">
        <v>3935.16</v>
      </c>
      <c r="I228" s="11">
        <f>_xll.PTreeNodeValue(treeCalc_1!$F$2,111)</f>
        <v>22222.159999999996</v>
      </c>
    </row>
    <row r="229" spans="5:10" ht="14.5" customHeight="1" x14ac:dyDescent="0.35">
      <c r="I229" s="8">
        <f>1-I225</f>
        <v>0.7</v>
      </c>
      <c r="J229" s="4">
        <f>_xll.PTreeNodeProbability(treeCalc_1!$F$2,113)</f>
        <v>0</v>
      </c>
    </row>
    <row r="230" spans="5:10" ht="14.5" customHeight="1" x14ac:dyDescent="0.35">
      <c r="I230" s="5">
        <v>2250</v>
      </c>
      <c r="J230" s="3">
        <f>_xll.PTreeNodeValue(treeCalc_1!$F$2,113)</f>
        <v>20647.16</v>
      </c>
    </row>
    <row r="231" spans="5:10" ht="14.5" customHeight="1" x14ac:dyDescent="0.35">
      <c r="E231" s="8">
        <f>1-E167</f>
        <v>0.42500000000000004</v>
      </c>
      <c r="F231" s="10" t="s">
        <v>48</v>
      </c>
    </row>
    <row r="232" spans="5:10" ht="14.5" customHeight="1" x14ac:dyDescent="0.35">
      <c r="E232" s="5">
        <v>0</v>
      </c>
      <c r="F232" s="11">
        <f>_xll.PTreeNodeValue(treeCalc_1!$F$2,98)</f>
        <v>25505.762850000003</v>
      </c>
    </row>
    <row r="233" spans="5:10" ht="14.5" customHeight="1" x14ac:dyDescent="0.35">
      <c r="I233" s="8">
        <v>0.3</v>
      </c>
      <c r="J233" s="4">
        <f>_xll.PTreeNodeProbability(treeCalc_1!$F$2,117)</f>
        <v>0</v>
      </c>
    </row>
    <row r="234" spans="5:10" ht="14.5" customHeight="1" x14ac:dyDescent="0.35">
      <c r="I234" s="9">
        <v>7500</v>
      </c>
      <c r="J234" s="3">
        <f>_xll.PTreeNodeValue(treeCalc_1!$F$2,117)</f>
        <v>23246.02</v>
      </c>
    </row>
    <row r="235" spans="5:10" ht="14.5" customHeight="1" x14ac:dyDescent="0.35">
      <c r="H235" s="8">
        <v>0.8</v>
      </c>
      <c r="I235" s="10" t="s">
        <v>45</v>
      </c>
    </row>
    <row r="236" spans="5:10" ht="14.5" customHeight="1" x14ac:dyDescent="0.35">
      <c r="H236" s="5">
        <v>1284.02</v>
      </c>
      <c r="I236" s="11">
        <f>_xll.PTreeNodeValue(treeCalc_1!$F$2,116)</f>
        <v>19571.02</v>
      </c>
    </row>
    <row r="237" spans="5:10" ht="14.5" customHeight="1" x14ac:dyDescent="0.35">
      <c r="I237" s="8">
        <f>1-I233</f>
        <v>0.7</v>
      </c>
      <c r="J237" s="4">
        <f>_xll.PTreeNodeProbability(treeCalc_1!$F$2,118)</f>
        <v>0</v>
      </c>
    </row>
    <row r="238" spans="5:10" ht="14.5" customHeight="1" x14ac:dyDescent="0.35">
      <c r="I238" s="5">
        <v>2250</v>
      </c>
      <c r="J238" s="3">
        <f>_xll.PTreeNodeValue(treeCalc_1!$F$2,118)</f>
        <v>17996.02</v>
      </c>
    </row>
    <row r="239" spans="5:10" ht="14.5" customHeight="1" x14ac:dyDescent="0.35">
      <c r="G239" s="8">
        <v>0</v>
      </c>
      <c r="H239" s="10" t="s">
        <v>46</v>
      </c>
    </row>
    <row r="240" spans="5:10" ht="14.5" customHeight="1" x14ac:dyDescent="0.35">
      <c r="G240" s="5">
        <v>0</v>
      </c>
      <c r="H240" s="11">
        <f>_xll.PTreeNodeValue(treeCalc_1!$F$2,115)</f>
        <v>20101.248</v>
      </c>
    </row>
    <row r="241" spans="6:10" ht="14.5" customHeight="1" x14ac:dyDescent="0.35">
      <c r="I241" s="8">
        <v>0.3</v>
      </c>
      <c r="J241" s="4">
        <f>_xll.PTreeNodeProbability(treeCalc_1!$F$2,120)</f>
        <v>0</v>
      </c>
    </row>
    <row r="242" spans="6:10" ht="14.5" customHeight="1" x14ac:dyDescent="0.35">
      <c r="I242" s="9">
        <v>7500</v>
      </c>
      <c r="J242" s="3">
        <f>_xll.PTreeNodeValue(treeCalc_1!$F$2,120)</f>
        <v>25897.16</v>
      </c>
    </row>
    <row r="243" spans="6:10" ht="14.5" customHeight="1" x14ac:dyDescent="0.35">
      <c r="H243" s="8">
        <f>1-H235</f>
        <v>0.19999999999999996</v>
      </c>
      <c r="I243" s="10" t="s">
        <v>45</v>
      </c>
    </row>
    <row r="244" spans="6:10" ht="14.5" customHeight="1" x14ac:dyDescent="0.35">
      <c r="H244" s="5">
        <v>3935.16</v>
      </c>
      <c r="I244" s="11">
        <f>_xll.PTreeNodeValue(treeCalc_1!$F$2,119)</f>
        <v>22222.159999999996</v>
      </c>
    </row>
    <row r="245" spans="6:10" ht="14.5" customHeight="1" x14ac:dyDescent="0.35">
      <c r="I245" s="8">
        <f>1-I241</f>
        <v>0.7</v>
      </c>
      <c r="J245" s="4">
        <f>_xll.PTreeNodeProbability(treeCalc_1!$F$2,121)</f>
        <v>0</v>
      </c>
    </row>
    <row r="246" spans="6:10" ht="14.5" customHeight="1" x14ac:dyDescent="0.35">
      <c r="I246" s="5">
        <v>2250</v>
      </c>
      <c r="J246" s="3">
        <f>_xll.PTreeNodeValue(treeCalc_1!$F$2,121)</f>
        <v>20647.16</v>
      </c>
    </row>
    <row r="247" spans="6:10" ht="14.5" customHeight="1" x14ac:dyDescent="0.35">
      <c r="F247" s="8">
        <f>1-F215</f>
        <v>0.45699999999999996</v>
      </c>
      <c r="G247" s="10" t="s">
        <v>47</v>
      </c>
    </row>
    <row r="248" spans="6:10" ht="14.5" customHeight="1" x14ac:dyDescent="0.35">
      <c r="F248" s="5">
        <v>0</v>
      </c>
      <c r="G248" s="11">
        <f>_xll.PTreeNodeValue(treeCalc_1!$F$2,114)</f>
        <v>9802.773000000001</v>
      </c>
    </row>
    <row r="249" spans="6:10" ht="14.5" customHeight="1" x14ac:dyDescent="0.35">
      <c r="I249" s="8">
        <v>0.3</v>
      </c>
      <c r="J249" s="4">
        <f>_xll.PTreeNodeProbability(treeCalc_1!$F$2,124)</f>
        <v>4.6614000000000003E-2</v>
      </c>
    </row>
    <row r="250" spans="6:10" ht="14.5" customHeight="1" x14ac:dyDescent="0.35">
      <c r="I250" s="9">
        <v>7500</v>
      </c>
      <c r="J250" s="3">
        <f>_xll.PTreeNodeValue(treeCalc_1!$F$2,124)</f>
        <v>12947.545000000002</v>
      </c>
    </row>
    <row r="251" spans="6:10" ht="14.5" customHeight="1" x14ac:dyDescent="0.35">
      <c r="H251" s="8">
        <v>0.8</v>
      </c>
      <c r="I251" s="10" t="s">
        <v>45</v>
      </c>
    </row>
    <row r="252" spans="6:10" ht="14.5" customHeight="1" x14ac:dyDescent="0.35">
      <c r="H252" s="5">
        <v>1284.02</v>
      </c>
      <c r="I252" s="11">
        <f>_xll.PTreeNodeValue(treeCalc_1!$F$2,123)</f>
        <v>9272.5450000000019</v>
      </c>
    </row>
    <row r="253" spans="6:10" ht="14.5" customHeight="1" x14ac:dyDescent="0.35">
      <c r="I253" s="8">
        <f>1-I249</f>
        <v>0.7</v>
      </c>
      <c r="J253" s="4">
        <f>_xll.PTreeNodeProbability(treeCalc_1!$F$2,125)</f>
        <v>0.108766</v>
      </c>
    </row>
    <row r="254" spans="6:10" ht="14.5" customHeight="1" x14ac:dyDescent="0.35">
      <c r="I254" s="5">
        <v>2250</v>
      </c>
      <c r="J254" s="3">
        <f>_xll.PTreeNodeValue(treeCalc_1!$F$2,125)</f>
        <v>7697.5450000000019</v>
      </c>
    </row>
    <row r="255" spans="6:10" ht="14.5" customHeight="1" x14ac:dyDescent="0.35">
      <c r="G255" s="8">
        <v>1</v>
      </c>
      <c r="H255" s="10" t="s">
        <v>46</v>
      </c>
    </row>
    <row r="256" spans="6:10" ht="14.5" customHeight="1" x14ac:dyDescent="0.35">
      <c r="G256" s="5">
        <f>-((22.65-17.7)*0.19*10950)</f>
        <v>-10298.474999999999</v>
      </c>
      <c r="H256" s="11">
        <f>_xll.PTreeNodeValue(treeCalc_1!$F$2,122)</f>
        <v>9802.773000000001</v>
      </c>
    </row>
    <row r="257" spans="2:10" ht="14.5" customHeight="1" x14ac:dyDescent="0.35">
      <c r="I257" s="8">
        <v>0.3</v>
      </c>
      <c r="J257" s="4">
        <f>_xll.PTreeNodeProbability(treeCalc_1!$F$2,127)</f>
        <v>1.1653499999999997E-2</v>
      </c>
    </row>
    <row r="258" spans="2:10" ht="14.5" customHeight="1" x14ac:dyDescent="0.35">
      <c r="I258" s="9">
        <v>7500</v>
      </c>
      <c r="J258" s="3">
        <f>_xll.PTreeNodeValue(treeCalc_1!$F$2,127)</f>
        <v>15598.685000000001</v>
      </c>
    </row>
    <row r="259" spans="2:10" ht="14.5" customHeight="1" x14ac:dyDescent="0.35">
      <c r="H259" s="8">
        <f>1-H251</f>
        <v>0.19999999999999996</v>
      </c>
      <c r="I259" s="10" t="s">
        <v>45</v>
      </c>
    </row>
    <row r="260" spans="2:10" ht="14.5" customHeight="1" x14ac:dyDescent="0.35">
      <c r="H260" s="5">
        <v>3935.16</v>
      </c>
      <c r="I260" s="11">
        <f>_xll.PTreeNodeValue(treeCalc_1!$F$2,126)</f>
        <v>11923.685000000001</v>
      </c>
    </row>
    <row r="261" spans="2:10" ht="14.5" customHeight="1" x14ac:dyDescent="0.35">
      <c r="I261" s="8">
        <f>1-I257</f>
        <v>0.7</v>
      </c>
      <c r="J261" s="4">
        <f>_xll.PTreeNodeProbability(treeCalc_1!$F$2,128)</f>
        <v>2.7191499999999993E-2</v>
      </c>
    </row>
    <row r="262" spans="2:10" ht="14.5" customHeight="1" x14ac:dyDescent="0.35">
      <c r="I262" s="5">
        <v>2250</v>
      </c>
      <c r="J262" s="3">
        <f>_xll.PTreeNodeValue(treeCalc_1!$F$2,128)</f>
        <v>10348.685000000001</v>
      </c>
    </row>
    <row r="263" spans="2:10" ht="14.5" customHeight="1" x14ac:dyDescent="0.35">
      <c r="B263" s="5"/>
      <c r="C263" s="12" t="s">
        <v>51</v>
      </c>
    </row>
    <row r="264" spans="2:10" ht="14.5" customHeight="1" x14ac:dyDescent="0.35">
      <c r="B264" s="5"/>
      <c r="C264" s="6">
        <f>_xll.PTreeNodeValue(treeCalc_1!$F$2,1)</f>
        <v>17371.007850000002</v>
      </c>
    </row>
    <row r="265" spans="2:10" ht="14.5" customHeight="1" x14ac:dyDescent="0.35">
      <c r="E265" s="8">
        <v>0.54300000000000004</v>
      </c>
      <c r="F265" s="4">
        <f>_xll.PTreeNodeProbability(treeCalc_1!$F$2,131)</f>
        <v>0</v>
      </c>
    </row>
    <row r="266" spans="2:10" ht="14.5" customHeight="1" x14ac:dyDescent="0.35">
      <c r="E266" s="5">
        <f>31.6*0.26*10950</f>
        <v>89965.200000000012</v>
      </c>
      <c r="F266" s="3">
        <f>_xll.PTreeNodeValue(treeCalc_1!$F$2,131)</f>
        <v>89965.200000000012</v>
      </c>
    </row>
    <row r="267" spans="2:10" ht="14.5" customHeight="1" x14ac:dyDescent="0.35">
      <c r="D267" s="8">
        <v>0.75</v>
      </c>
      <c r="E267" s="10" t="s">
        <v>48</v>
      </c>
    </row>
    <row r="268" spans="2:10" ht="14.5" customHeight="1" x14ac:dyDescent="0.35">
      <c r="D268" s="5">
        <v>0</v>
      </c>
      <c r="E268" s="11">
        <f>_xll.PTreeNodeValue(treeCalc_1!$F$2,130)</f>
        <v>71880.201900000015</v>
      </c>
    </row>
    <row r="269" spans="2:10" ht="14.5" customHeight="1" x14ac:dyDescent="0.35">
      <c r="E269" s="8">
        <f>1-E265</f>
        <v>0.45699999999999996</v>
      </c>
      <c r="F269" s="4">
        <f>_xll.PTreeNodeProbability(treeCalc_1!$F$2,132)</f>
        <v>0</v>
      </c>
    </row>
    <row r="270" spans="2:10" ht="14.5" customHeight="1" x14ac:dyDescent="0.35">
      <c r="E270" s="5">
        <f>17.7*0.26*10950</f>
        <v>50391.9</v>
      </c>
      <c r="F270" s="3">
        <f>_xll.PTreeNodeValue(treeCalc_1!$F$2,132)</f>
        <v>50391.9</v>
      </c>
    </row>
    <row r="271" spans="2:10" ht="14.5" customHeight="1" x14ac:dyDescent="0.35">
      <c r="C271" s="7" t="b">
        <f>_xll.PTreeNodeDecision(treeCalc_1!$F$2,129)</f>
        <v>0</v>
      </c>
      <c r="D271" s="10" t="s">
        <v>52</v>
      </c>
    </row>
    <row r="272" spans="2:10" ht="14.5" customHeight="1" x14ac:dyDescent="0.35">
      <c r="C272" s="5">
        <v>0</v>
      </c>
      <c r="D272" s="11">
        <f>_xll.PTreeNodeValue(treeCalc_1!$F$2,129)</f>
        <v>62895.176662500016</v>
      </c>
    </row>
    <row r="273" spans="4:6" ht="14.5" customHeight="1" x14ac:dyDescent="0.35">
      <c r="E273" s="8">
        <v>0.54300000000000004</v>
      </c>
      <c r="F273" s="4">
        <f>_xll.PTreeNodeProbability(treeCalc_1!$F$2,134)</f>
        <v>0</v>
      </c>
    </row>
    <row r="274" spans="4:6" ht="14.5" customHeight="1" x14ac:dyDescent="0.35">
      <c r="E274" s="5">
        <f>31.6*0.13*10950</f>
        <v>44982.600000000006</v>
      </c>
      <c r="F274" s="3">
        <f>_xll.PTreeNodeValue(treeCalc_1!$F$2,134)</f>
        <v>44982.600000000006</v>
      </c>
    </row>
    <row r="275" spans="4:6" ht="14.5" customHeight="1" x14ac:dyDescent="0.35">
      <c r="D275" s="8">
        <f>1-D267</f>
        <v>0.25</v>
      </c>
      <c r="E275" s="10" t="s">
        <v>48</v>
      </c>
    </row>
    <row r="276" spans="4:6" ht="14.5" customHeight="1" x14ac:dyDescent="0.35">
      <c r="D276" s="5">
        <v>0</v>
      </c>
      <c r="E276" s="11">
        <f>_xll.PTreeNodeValue(treeCalc_1!$F$2,133)</f>
        <v>35940.100950000007</v>
      </c>
    </row>
    <row r="277" spans="4:6" ht="14.5" customHeight="1" x14ac:dyDescent="0.35">
      <c r="E277" s="8">
        <f>1-E273</f>
        <v>0.45699999999999996</v>
      </c>
      <c r="F277" s="4">
        <f>_xll.PTreeNodeProbability(treeCalc_1!$F$2,135)</f>
        <v>0</v>
      </c>
    </row>
    <row r="278" spans="4:6" ht="14.5" customHeight="1" x14ac:dyDescent="0.35">
      <c r="E278" s="5">
        <f>17.7*0.13*10950</f>
        <v>25195.95</v>
      </c>
      <c r="F278" s="3">
        <f>_xll.PTreeNodeValue(treeCalc_1!$F$2,135)</f>
        <v>25195.95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B481-ED0A-4999-8EC0-85A9D15F94A7}">
  <dimension ref="A1:Y82"/>
  <sheetViews>
    <sheetView topLeftCell="M47" zoomScale="68" zoomScaleNormal="65" workbookViewId="0">
      <selection sqref="A1:X68"/>
    </sheetView>
  </sheetViews>
  <sheetFormatPr defaultRowHeight="14.5" x14ac:dyDescent="0.35"/>
  <cols>
    <col min="1" max="1" width="6" bestFit="1" customWidth="1"/>
    <col min="2" max="2" width="16.81640625" bestFit="1" customWidth="1"/>
    <col min="3" max="3" width="21.54296875" bestFit="1" customWidth="1"/>
    <col min="4" max="4" width="15" bestFit="1" customWidth="1"/>
    <col min="5" max="5" width="27.26953125" bestFit="1" customWidth="1"/>
    <col min="6" max="6" width="11.54296875" bestFit="1" customWidth="1"/>
    <col min="7" max="7" width="11.81640625" bestFit="1" customWidth="1"/>
    <col min="8" max="8" width="12.54296875" bestFit="1" customWidth="1"/>
    <col min="9" max="9" width="14.26953125" hidden="1" customWidth="1"/>
    <col min="10" max="10" width="26.7265625" hidden="1" customWidth="1"/>
    <col min="11" max="11" width="88.26953125" hidden="1" customWidth="1"/>
    <col min="12" max="12" width="26.26953125" bestFit="1" customWidth="1"/>
    <col min="13" max="13" width="27.26953125" bestFit="1" customWidth="1"/>
    <col min="14" max="14" width="27.1796875" bestFit="1" customWidth="1"/>
    <col min="15" max="17" width="27.1796875" customWidth="1"/>
    <col min="18" max="18" width="30" bestFit="1" customWidth="1"/>
    <col min="22" max="22" width="18.453125" bestFit="1" customWidth="1"/>
    <col min="24" max="24" width="9.81640625" bestFit="1" customWidth="1"/>
    <col min="25" max="25" width="10.453125" bestFit="1" customWidth="1"/>
  </cols>
  <sheetData>
    <row r="1" spans="1:25" s="22" customFormat="1" x14ac:dyDescent="0.35">
      <c r="A1" s="23" t="s">
        <v>226</v>
      </c>
      <c r="B1" s="23" t="s">
        <v>225</v>
      </c>
      <c r="C1" s="23" t="s">
        <v>224</v>
      </c>
      <c r="D1" s="23" t="s">
        <v>223</v>
      </c>
      <c r="E1" s="23" t="s">
        <v>222</v>
      </c>
      <c r="F1" s="23" t="s">
        <v>87</v>
      </c>
      <c r="G1" s="23" t="s">
        <v>221</v>
      </c>
      <c r="H1" s="23" t="s">
        <v>220</v>
      </c>
      <c r="I1" s="23" t="s">
        <v>191</v>
      </c>
      <c r="J1" s="23" t="s">
        <v>219</v>
      </c>
      <c r="K1" s="23" t="s">
        <v>218</v>
      </c>
      <c r="L1" s="23" t="s">
        <v>217</v>
      </c>
      <c r="M1" s="23" t="s">
        <v>188</v>
      </c>
      <c r="N1" s="23" t="s">
        <v>216</v>
      </c>
      <c r="O1" s="23" t="s">
        <v>215</v>
      </c>
      <c r="P1" s="23" t="s">
        <v>214</v>
      </c>
      <c r="Q1" s="23" t="s">
        <v>213</v>
      </c>
      <c r="R1" s="23" t="s">
        <v>212</v>
      </c>
    </row>
    <row r="2" spans="1:25" x14ac:dyDescent="0.35">
      <c r="A2" s="15">
        <v>0</v>
      </c>
      <c r="B2" s="15" t="s">
        <v>198</v>
      </c>
      <c r="C2" s="15" t="s">
        <v>200</v>
      </c>
      <c r="D2" s="15" t="s">
        <v>58</v>
      </c>
      <c r="E2" s="15" t="s">
        <v>183</v>
      </c>
      <c r="F2" s="15" t="s">
        <v>199</v>
      </c>
      <c r="G2" s="15" t="s">
        <v>183</v>
      </c>
      <c r="H2" s="15" t="s">
        <v>178</v>
      </c>
      <c r="I2" s="15" t="s">
        <v>194</v>
      </c>
      <c r="J2" s="15" t="s">
        <v>194</v>
      </c>
      <c r="K2" s="15" t="s">
        <v>193</v>
      </c>
      <c r="L2" s="15">
        <v>29.45</v>
      </c>
      <c r="M2" s="15">
        <v>31.6</v>
      </c>
      <c r="N2" s="15">
        <f>L2-M2</f>
        <v>-2.1500000000000021</v>
      </c>
      <c r="O2" s="15">
        <f>10950*N2*$W$12</f>
        <v>-4473.0750000000044</v>
      </c>
      <c r="P2" s="14">
        <f>$Y$7+$Y$4+$Y$9</f>
        <v>46702.16</v>
      </c>
      <c r="Q2" s="14">
        <f>O2-P2</f>
        <v>-51175.235000000008</v>
      </c>
      <c r="R2" s="14">
        <f>64933+Q2</f>
        <v>13757.764999999992</v>
      </c>
      <c r="X2" t="s">
        <v>211</v>
      </c>
      <c r="Y2" t="s">
        <v>210</v>
      </c>
    </row>
    <row r="3" spans="1:25" x14ac:dyDescent="0.35">
      <c r="A3" s="15">
        <v>1</v>
      </c>
      <c r="B3" s="15" t="s">
        <v>198</v>
      </c>
      <c r="C3" s="15" t="s">
        <v>200</v>
      </c>
      <c r="D3" s="15" t="s">
        <v>58</v>
      </c>
      <c r="E3" s="15" t="s">
        <v>183</v>
      </c>
      <c r="F3" s="15" t="s">
        <v>199</v>
      </c>
      <c r="G3" s="15" t="s">
        <v>183</v>
      </c>
      <c r="H3" s="15" t="s">
        <v>183</v>
      </c>
      <c r="I3" s="15" t="s">
        <v>194</v>
      </c>
      <c r="J3" s="15" t="s">
        <v>194</v>
      </c>
      <c r="K3" s="15" t="s">
        <v>193</v>
      </c>
      <c r="L3" s="15">
        <v>29.45</v>
      </c>
      <c r="M3" s="15">
        <v>31.6</v>
      </c>
      <c r="N3" s="15">
        <f>L3-M3</f>
        <v>-2.1500000000000021</v>
      </c>
      <c r="O3" s="15">
        <f>10950*N3*$W$12</f>
        <v>-4473.0750000000044</v>
      </c>
      <c r="P3" s="14">
        <f>$Y$7+$Y$3+$Y$9</f>
        <v>51952.160000000003</v>
      </c>
      <c r="Q3" s="14">
        <f>O3-P3</f>
        <v>-56425.235000000008</v>
      </c>
      <c r="R3" s="14">
        <f>64933+Q3</f>
        <v>8507.7649999999921</v>
      </c>
      <c r="V3" t="s">
        <v>209</v>
      </c>
      <c r="W3" t="s">
        <v>208</v>
      </c>
      <c r="X3" s="20">
        <v>250</v>
      </c>
      <c r="Y3" s="20">
        <f>X3*30</f>
        <v>7500</v>
      </c>
    </row>
    <row r="4" spans="1:25" x14ac:dyDescent="0.35">
      <c r="A4" s="15">
        <v>2</v>
      </c>
      <c r="B4" s="15" t="s">
        <v>198</v>
      </c>
      <c r="C4" s="15" t="s">
        <v>200</v>
      </c>
      <c r="D4" s="15" t="s">
        <v>58</v>
      </c>
      <c r="E4" s="15" t="s">
        <v>183</v>
      </c>
      <c r="F4" s="15" t="s">
        <v>199</v>
      </c>
      <c r="G4" s="15" t="s">
        <v>178</v>
      </c>
      <c r="H4" s="15" t="s">
        <v>178</v>
      </c>
      <c r="I4" s="15" t="s">
        <v>194</v>
      </c>
      <c r="J4" s="15" t="s">
        <v>194</v>
      </c>
      <c r="K4" s="15" t="s">
        <v>193</v>
      </c>
      <c r="L4" s="15">
        <v>29.45</v>
      </c>
      <c r="M4" s="15">
        <v>31.6</v>
      </c>
      <c r="N4" s="15">
        <f>L4-M4</f>
        <v>-2.1500000000000021</v>
      </c>
      <c r="O4" s="15">
        <f>10950*N4*$W$12</f>
        <v>-4473.0750000000044</v>
      </c>
      <c r="P4" s="14">
        <f>$Y$6+$Y$4+$Y$9</f>
        <v>44051.02</v>
      </c>
      <c r="Q4" s="14">
        <f>O4-P4</f>
        <v>-48524.095000000001</v>
      </c>
      <c r="R4" s="14">
        <f>64933+Q4</f>
        <v>16408.904999999999</v>
      </c>
      <c r="W4" t="s">
        <v>207</v>
      </c>
      <c r="X4" s="21">
        <v>75</v>
      </c>
      <c r="Y4" s="20">
        <f>X4*30</f>
        <v>2250</v>
      </c>
    </row>
    <row r="5" spans="1:25" x14ac:dyDescent="0.35">
      <c r="A5" s="15">
        <v>3</v>
      </c>
      <c r="B5" s="15" t="s">
        <v>198</v>
      </c>
      <c r="C5" s="15" t="s">
        <v>200</v>
      </c>
      <c r="D5" s="15" t="s">
        <v>58</v>
      </c>
      <c r="E5" s="15" t="s">
        <v>183</v>
      </c>
      <c r="F5" s="15" t="s">
        <v>199</v>
      </c>
      <c r="G5" s="15" t="s">
        <v>178</v>
      </c>
      <c r="H5" s="15" t="s">
        <v>183</v>
      </c>
      <c r="I5" s="15" t="s">
        <v>194</v>
      </c>
      <c r="J5" s="15" t="s">
        <v>194</v>
      </c>
      <c r="K5" s="15" t="s">
        <v>193</v>
      </c>
      <c r="L5" s="15">
        <v>29.45</v>
      </c>
      <c r="M5" s="15">
        <v>31.6</v>
      </c>
      <c r="N5" s="15">
        <f>L5-M5</f>
        <v>-2.1500000000000021</v>
      </c>
      <c r="O5" s="15">
        <f>10950*N5*$W$12</f>
        <v>-4473.0750000000044</v>
      </c>
      <c r="P5" s="14">
        <f>$Y$6+$Y$3+$Y$9</f>
        <v>49301.020000000004</v>
      </c>
      <c r="Q5" s="14">
        <f>O5-P5</f>
        <v>-53774.095000000008</v>
      </c>
      <c r="R5" s="14">
        <f>64933+Q5</f>
        <v>11158.904999999992</v>
      </c>
      <c r="Y5" s="20"/>
    </row>
    <row r="6" spans="1:25" x14ac:dyDescent="0.35">
      <c r="A6" s="15">
        <v>4</v>
      </c>
      <c r="B6" s="15" t="s">
        <v>198</v>
      </c>
      <c r="C6" s="15" t="s">
        <v>200</v>
      </c>
      <c r="D6" s="15" t="s">
        <v>58</v>
      </c>
      <c r="E6" s="15" t="s">
        <v>183</v>
      </c>
      <c r="F6" s="15" t="s">
        <v>195</v>
      </c>
      <c r="G6" s="15" t="s">
        <v>183</v>
      </c>
      <c r="H6" s="15" t="s">
        <v>178</v>
      </c>
      <c r="I6" s="15" t="s">
        <v>194</v>
      </c>
      <c r="J6" s="15" t="s">
        <v>194</v>
      </c>
      <c r="K6" s="15" t="s">
        <v>193</v>
      </c>
      <c r="L6" s="15">
        <v>29.45</v>
      </c>
      <c r="M6" s="15">
        <v>31.6</v>
      </c>
      <c r="N6" s="15">
        <f>L6-M6</f>
        <v>-2.1500000000000021</v>
      </c>
      <c r="O6" s="15">
        <f>10950*N6*$W$12</f>
        <v>-4473.0750000000044</v>
      </c>
      <c r="P6" s="14">
        <f>$Y$7+$Y$4+$Y$9</f>
        <v>46702.16</v>
      </c>
      <c r="Q6" s="14">
        <f>O6-P6</f>
        <v>-51175.235000000008</v>
      </c>
      <c r="R6" s="14">
        <f>64933+Q6</f>
        <v>13757.764999999992</v>
      </c>
      <c r="V6" t="s">
        <v>206</v>
      </c>
      <c r="W6" t="s">
        <v>205</v>
      </c>
      <c r="X6" s="13">
        <f>Y6/30</f>
        <v>42.800666666666665</v>
      </c>
      <c r="Y6" s="13">
        <v>1284.02</v>
      </c>
    </row>
    <row r="7" spans="1:25" x14ac:dyDescent="0.35">
      <c r="A7" s="15">
        <v>5</v>
      </c>
      <c r="B7" s="15" t="s">
        <v>198</v>
      </c>
      <c r="C7" s="15" t="s">
        <v>200</v>
      </c>
      <c r="D7" s="15" t="s">
        <v>58</v>
      </c>
      <c r="E7" s="15" t="s">
        <v>183</v>
      </c>
      <c r="F7" s="15" t="s">
        <v>195</v>
      </c>
      <c r="G7" s="15" t="s">
        <v>183</v>
      </c>
      <c r="H7" s="15" t="s">
        <v>183</v>
      </c>
      <c r="I7" s="15" t="s">
        <v>194</v>
      </c>
      <c r="J7" s="15" t="s">
        <v>194</v>
      </c>
      <c r="K7" s="15" t="s">
        <v>193</v>
      </c>
      <c r="L7" s="15">
        <v>29.45</v>
      </c>
      <c r="M7" s="15">
        <v>31.6</v>
      </c>
      <c r="N7" s="15">
        <f>L7-M7</f>
        <v>-2.1500000000000021</v>
      </c>
      <c r="O7" s="15">
        <f>10950*N7*$W$12</f>
        <v>-4473.0750000000044</v>
      </c>
      <c r="P7" s="14">
        <f>$Y$7+$Y$3+$Y$9</f>
        <v>51952.160000000003</v>
      </c>
      <c r="Q7" s="14">
        <f>O7-P7</f>
        <v>-56425.235000000008</v>
      </c>
      <c r="R7" s="14">
        <f>64933+Q7</f>
        <v>8507.7649999999921</v>
      </c>
      <c r="W7" t="s">
        <v>204</v>
      </c>
      <c r="X7" s="13">
        <f>Y7/30</f>
        <v>131.172</v>
      </c>
      <c r="Y7" s="13">
        <v>3935.16</v>
      </c>
    </row>
    <row r="8" spans="1:25" x14ac:dyDescent="0.35">
      <c r="A8" s="15">
        <v>6</v>
      </c>
      <c r="B8" s="15" t="s">
        <v>198</v>
      </c>
      <c r="C8" s="15" t="s">
        <v>200</v>
      </c>
      <c r="D8" s="15" t="s">
        <v>58</v>
      </c>
      <c r="E8" s="15" t="s">
        <v>183</v>
      </c>
      <c r="F8" s="15" t="s">
        <v>195</v>
      </c>
      <c r="G8" s="15" t="s">
        <v>178</v>
      </c>
      <c r="H8" s="15" t="s">
        <v>178</v>
      </c>
      <c r="I8" s="15" t="s">
        <v>194</v>
      </c>
      <c r="J8" s="15" t="s">
        <v>194</v>
      </c>
      <c r="K8" s="15" t="s">
        <v>193</v>
      </c>
      <c r="L8" s="15">
        <v>29.45</v>
      </c>
      <c r="M8" s="15">
        <v>31.6</v>
      </c>
      <c r="N8" s="15">
        <f>L8-M8</f>
        <v>-2.1500000000000021</v>
      </c>
      <c r="O8" s="15">
        <f>10950*N8*$W$12</f>
        <v>-4473.0750000000044</v>
      </c>
      <c r="P8" s="14">
        <f>$Y$6+$Y$4+$Y$9</f>
        <v>44051.02</v>
      </c>
      <c r="Q8" s="14">
        <f>O8-P8</f>
        <v>-48524.095000000001</v>
      </c>
      <c r="R8" s="14">
        <f>64933+Q8</f>
        <v>16408.904999999999</v>
      </c>
    </row>
    <row r="9" spans="1:25" x14ac:dyDescent="0.35">
      <c r="A9" s="15">
        <v>7</v>
      </c>
      <c r="B9" s="15" t="s">
        <v>198</v>
      </c>
      <c r="C9" s="15" t="s">
        <v>200</v>
      </c>
      <c r="D9" s="15" t="s">
        <v>58</v>
      </c>
      <c r="E9" s="15" t="s">
        <v>183</v>
      </c>
      <c r="F9" s="15" t="s">
        <v>195</v>
      </c>
      <c r="G9" s="15" t="s">
        <v>178</v>
      </c>
      <c r="H9" s="15" t="s">
        <v>183</v>
      </c>
      <c r="I9" s="15" t="s">
        <v>194</v>
      </c>
      <c r="J9" s="15" t="s">
        <v>194</v>
      </c>
      <c r="K9" s="15" t="s">
        <v>193</v>
      </c>
      <c r="L9" s="15">
        <v>29.45</v>
      </c>
      <c r="M9" s="15">
        <v>31.6</v>
      </c>
      <c r="N9" s="15">
        <f>L9-M9</f>
        <v>-2.1500000000000021</v>
      </c>
      <c r="O9" s="15">
        <f>10950*N9*$W$12</f>
        <v>-4473.0750000000044</v>
      </c>
      <c r="P9" s="14">
        <f>$Y$6+$Y$3+$Y$9</f>
        <v>49301.020000000004</v>
      </c>
      <c r="Q9" s="14">
        <f>O9-P9</f>
        <v>-53774.095000000008</v>
      </c>
      <c r="R9" s="14">
        <f>64933+Q9</f>
        <v>11158.904999999992</v>
      </c>
      <c r="V9" t="s">
        <v>203</v>
      </c>
      <c r="W9" t="s">
        <v>202</v>
      </c>
      <c r="X9" s="21">
        <f>Y9/30</f>
        <v>1350.5666666666666</v>
      </c>
      <c r="Y9" s="20">
        <f>47041-6524</f>
        <v>40517</v>
      </c>
    </row>
    <row r="10" spans="1:25" x14ac:dyDescent="0.35">
      <c r="A10" s="15">
        <v>8</v>
      </c>
      <c r="B10" s="15" t="s">
        <v>198</v>
      </c>
      <c r="C10" s="15" t="s">
        <v>200</v>
      </c>
      <c r="D10" s="15" t="s">
        <v>58</v>
      </c>
      <c r="E10" s="15" t="s">
        <v>178</v>
      </c>
      <c r="F10" s="15" t="s">
        <v>199</v>
      </c>
      <c r="G10" s="15" t="s">
        <v>183</v>
      </c>
      <c r="H10" s="15" t="s">
        <v>178</v>
      </c>
      <c r="I10" s="15" t="s">
        <v>194</v>
      </c>
      <c r="J10" s="15" t="s">
        <v>194</v>
      </c>
      <c r="K10" s="15" t="s">
        <v>193</v>
      </c>
      <c r="L10" s="15">
        <v>29.45</v>
      </c>
      <c r="M10" s="15">
        <v>17.7</v>
      </c>
      <c r="N10" s="15">
        <f>L10-M10</f>
        <v>11.75</v>
      </c>
      <c r="O10" s="15">
        <f>10950*N10*$W$12</f>
        <v>24445.875</v>
      </c>
      <c r="P10" s="14">
        <f>$Y$7+$Y$4+$Y$9</f>
        <v>46702.16</v>
      </c>
      <c r="Q10" s="14">
        <f>O10-P10</f>
        <v>-22256.285000000003</v>
      </c>
      <c r="R10" s="14">
        <f>64933+Q10</f>
        <v>42676.714999999997</v>
      </c>
      <c r="W10" t="s">
        <v>118</v>
      </c>
      <c r="X10" s="20">
        <v>14462</v>
      </c>
      <c r="Y10">
        <v>0</v>
      </c>
    </row>
    <row r="11" spans="1:25" x14ac:dyDescent="0.35">
      <c r="A11" s="15">
        <v>9</v>
      </c>
      <c r="B11" s="15" t="s">
        <v>198</v>
      </c>
      <c r="C11" s="15" t="s">
        <v>200</v>
      </c>
      <c r="D11" s="15" t="s">
        <v>58</v>
      </c>
      <c r="E11" s="15" t="s">
        <v>178</v>
      </c>
      <c r="F11" s="15" t="s">
        <v>199</v>
      </c>
      <c r="G11" s="15" t="s">
        <v>183</v>
      </c>
      <c r="H11" s="15" t="s">
        <v>183</v>
      </c>
      <c r="I11" s="15" t="s">
        <v>194</v>
      </c>
      <c r="J11" s="15" t="s">
        <v>194</v>
      </c>
      <c r="K11" s="15" t="s">
        <v>193</v>
      </c>
      <c r="L11" s="15">
        <v>29.45</v>
      </c>
      <c r="M11" s="15">
        <v>17.7</v>
      </c>
      <c r="N11" s="15">
        <f>L11-M11</f>
        <v>11.75</v>
      </c>
      <c r="O11" s="15">
        <f>10950*N11*$W$12</f>
        <v>24445.875</v>
      </c>
      <c r="P11" s="14">
        <f>$Y$7+$Y$3+$Y$9</f>
        <v>51952.160000000003</v>
      </c>
      <c r="Q11" s="14">
        <f>O11-P11</f>
        <v>-27506.285000000003</v>
      </c>
      <c r="R11" s="14">
        <f>64933+Q11</f>
        <v>37426.714999999997</v>
      </c>
    </row>
    <row r="12" spans="1:25" x14ac:dyDescent="0.35">
      <c r="A12" s="15">
        <v>10</v>
      </c>
      <c r="B12" s="15" t="s">
        <v>198</v>
      </c>
      <c r="C12" s="15" t="s">
        <v>200</v>
      </c>
      <c r="D12" s="15" t="s">
        <v>58</v>
      </c>
      <c r="E12" s="15" t="s">
        <v>178</v>
      </c>
      <c r="F12" s="15" t="s">
        <v>199</v>
      </c>
      <c r="G12" s="15" t="s">
        <v>178</v>
      </c>
      <c r="H12" s="15" t="s">
        <v>178</v>
      </c>
      <c r="I12" s="15" t="s">
        <v>194</v>
      </c>
      <c r="J12" s="15" t="s">
        <v>194</v>
      </c>
      <c r="K12" s="15" t="s">
        <v>193</v>
      </c>
      <c r="L12" s="15">
        <v>29.45</v>
      </c>
      <c r="M12" s="15">
        <v>17.7</v>
      </c>
      <c r="N12" s="15">
        <f>L12-M12</f>
        <v>11.75</v>
      </c>
      <c r="O12" s="15">
        <f>10950*N12*$W$12</f>
        <v>24445.875</v>
      </c>
      <c r="P12" s="14">
        <f>$Y$6+$Y$4+$Y$9</f>
        <v>44051.02</v>
      </c>
      <c r="Q12" s="14">
        <f>O12-P12</f>
        <v>-19605.144999999997</v>
      </c>
      <c r="R12" s="14">
        <f>64933+Q12</f>
        <v>45327.855000000003</v>
      </c>
      <c r="V12" t="s">
        <v>201</v>
      </c>
      <c r="W12">
        <v>0.19</v>
      </c>
    </row>
    <row r="13" spans="1:25" x14ac:dyDescent="0.35">
      <c r="A13" s="15">
        <v>11</v>
      </c>
      <c r="B13" s="15" t="s">
        <v>198</v>
      </c>
      <c r="C13" s="15" t="s">
        <v>200</v>
      </c>
      <c r="D13" s="15" t="s">
        <v>58</v>
      </c>
      <c r="E13" s="15" t="s">
        <v>178</v>
      </c>
      <c r="F13" s="15" t="s">
        <v>199</v>
      </c>
      <c r="G13" s="15" t="s">
        <v>178</v>
      </c>
      <c r="H13" s="15" t="s">
        <v>183</v>
      </c>
      <c r="I13" s="15" t="s">
        <v>194</v>
      </c>
      <c r="J13" s="15" t="s">
        <v>194</v>
      </c>
      <c r="K13" s="15" t="s">
        <v>193</v>
      </c>
      <c r="L13" s="15">
        <v>29.45</v>
      </c>
      <c r="M13" s="15">
        <v>17.7</v>
      </c>
      <c r="N13" s="15">
        <f>L13-M13</f>
        <v>11.75</v>
      </c>
      <c r="O13" s="15">
        <f>10950*N13*$W$12</f>
        <v>24445.875</v>
      </c>
      <c r="P13" s="14">
        <f>$Y$6+$Y$3+$Y$9</f>
        <v>49301.020000000004</v>
      </c>
      <c r="Q13" s="14">
        <f>O13-P13</f>
        <v>-24855.145000000004</v>
      </c>
      <c r="R13" s="14">
        <f>64933+Q13</f>
        <v>40077.854999999996</v>
      </c>
    </row>
    <row r="14" spans="1:25" x14ac:dyDescent="0.35">
      <c r="A14" s="15">
        <v>12</v>
      </c>
      <c r="B14" s="15" t="s">
        <v>198</v>
      </c>
      <c r="C14" s="15" t="s">
        <v>200</v>
      </c>
      <c r="D14" s="15" t="s">
        <v>58</v>
      </c>
      <c r="E14" s="15" t="s">
        <v>178</v>
      </c>
      <c r="F14" s="15" t="s">
        <v>195</v>
      </c>
      <c r="G14" s="15" t="s">
        <v>183</v>
      </c>
      <c r="H14" s="15" t="s">
        <v>178</v>
      </c>
      <c r="I14" s="15" t="s">
        <v>194</v>
      </c>
      <c r="J14" s="15" t="s">
        <v>194</v>
      </c>
      <c r="K14" s="15" t="s">
        <v>193</v>
      </c>
      <c r="L14" s="15">
        <v>29.45</v>
      </c>
      <c r="M14" s="15">
        <v>17.7</v>
      </c>
      <c r="N14" s="15">
        <f>L14-M14</f>
        <v>11.75</v>
      </c>
      <c r="O14" s="15">
        <f>10950*N14*$W$12</f>
        <v>24445.875</v>
      </c>
      <c r="P14" s="14">
        <f>$Y$7+$Y$4+$Y$9</f>
        <v>46702.16</v>
      </c>
      <c r="Q14" s="14">
        <f>O14-P14</f>
        <v>-22256.285000000003</v>
      </c>
      <c r="R14" s="14">
        <f>64933+Q14</f>
        <v>42676.714999999997</v>
      </c>
    </row>
    <row r="15" spans="1:25" x14ac:dyDescent="0.35">
      <c r="A15" s="15">
        <v>13</v>
      </c>
      <c r="B15" s="15" t="s">
        <v>198</v>
      </c>
      <c r="C15" s="15" t="s">
        <v>200</v>
      </c>
      <c r="D15" s="15" t="s">
        <v>58</v>
      </c>
      <c r="E15" s="15" t="s">
        <v>178</v>
      </c>
      <c r="F15" s="15" t="s">
        <v>195</v>
      </c>
      <c r="G15" s="15" t="s">
        <v>183</v>
      </c>
      <c r="H15" s="15" t="s">
        <v>183</v>
      </c>
      <c r="I15" s="15" t="s">
        <v>194</v>
      </c>
      <c r="J15" s="15" t="s">
        <v>194</v>
      </c>
      <c r="K15" s="15" t="s">
        <v>193</v>
      </c>
      <c r="L15" s="15">
        <v>29.45</v>
      </c>
      <c r="M15" s="15">
        <v>17.7</v>
      </c>
      <c r="N15" s="15">
        <f>L15-M15</f>
        <v>11.75</v>
      </c>
      <c r="O15" s="15">
        <f>10950*N15*$W$12</f>
        <v>24445.875</v>
      </c>
      <c r="P15" s="14">
        <f>$Y$7+$Y$3+$Y$9</f>
        <v>51952.160000000003</v>
      </c>
      <c r="Q15" s="14">
        <f>O15-P15</f>
        <v>-27506.285000000003</v>
      </c>
      <c r="R15" s="14">
        <f>64933+Q15</f>
        <v>37426.714999999997</v>
      </c>
    </row>
    <row r="16" spans="1:25" x14ac:dyDescent="0.35">
      <c r="A16" s="15">
        <v>14</v>
      </c>
      <c r="B16" s="15" t="s">
        <v>198</v>
      </c>
      <c r="C16" s="15" t="s">
        <v>200</v>
      </c>
      <c r="D16" s="15" t="s">
        <v>58</v>
      </c>
      <c r="E16" s="15" t="s">
        <v>178</v>
      </c>
      <c r="F16" s="15" t="s">
        <v>195</v>
      </c>
      <c r="G16" s="15" t="s">
        <v>178</v>
      </c>
      <c r="H16" s="15" t="s">
        <v>178</v>
      </c>
      <c r="I16" s="15" t="s">
        <v>194</v>
      </c>
      <c r="J16" s="15" t="s">
        <v>194</v>
      </c>
      <c r="K16" s="15" t="s">
        <v>193</v>
      </c>
      <c r="L16" s="15">
        <v>29.45</v>
      </c>
      <c r="M16" s="15">
        <v>17.7</v>
      </c>
      <c r="N16" s="15">
        <f>L16-M16</f>
        <v>11.75</v>
      </c>
      <c r="O16" s="15">
        <f>10950*N16*$W$12</f>
        <v>24445.875</v>
      </c>
      <c r="P16" s="14">
        <f>$Y$6+$Y$4+$Y$9</f>
        <v>44051.02</v>
      </c>
      <c r="Q16" s="14">
        <f>O16-P16</f>
        <v>-19605.144999999997</v>
      </c>
      <c r="R16" s="14">
        <f>64933+Q16</f>
        <v>45327.855000000003</v>
      </c>
    </row>
    <row r="17" spans="1:18" x14ac:dyDescent="0.35">
      <c r="A17" s="15">
        <v>15</v>
      </c>
      <c r="B17" s="15" t="s">
        <v>198</v>
      </c>
      <c r="C17" s="15" t="s">
        <v>200</v>
      </c>
      <c r="D17" s="15" t="s">
        <v>58</v>
      </c>
      <c r="E17" s="15" t="s">
        <v>178</v>
      </c>
      <c r="F17" s="15" t="s">
        <v>195</v>
      </c>
      <c r="G17" s="15" t="s">
        <v>178</v>
      </c>
      <c r="H17" s="15" t="s">
        <v>183</v>
      </c>
      <c r="I17" s="15" t="s">
        <v>194</v>
      </c>
      <c r="J17" s="15" t="s">
        <v>194</v>
      </c>
      <c r="K17" s="15" t="s">
        <v>193</v>
      </c>
      <c r="L17" s="15">
        <v>29.45</v>
      </c>
      <c r="M17" s="15">
        <v>17.7</v>
      </c>
      <c r="N17" s="15">
        <f>L17-M17</f>
        <v>11.75</v>
      </c>
      <c r="O17" s="15">
        <f>10950*N17*$W$12</f>
        <v>24445.875</v>
      </c>
      <c r="P17" s="14">
        <f>$Y$6+$Y$3+$Y$9</f>
        <v>49301.020000000004</v>
      </c>
      <c r="Q17" s="14">
        <f>O17-P17</f>
        <v>-24855.145000000004</v>
      </c>
      <c r="R17" s="14">
        <f>64933+Q17</f>
        <v>40077.854999999996</v>
      </c>
    </row>
    <row r="18" spans="1:18" x14ac:dyDescent="0.35">
      <c r="A18" s="15">
        <v>16</v>
      </c>
      <c r="B18" s="15" t="s">
        <v>198</v>
      </c>
      <c r="C18" s="15" t="s">
        <v>200</v>
      </c>
      <c r="D18" s="15" t="s">
        <v>196</v>
      </c>
      <c r="E18" s="15" t="s">
        <v>183</v>
      </c>
      <c r="F18" s="15" t="s">
        <v>199</v>
      </c>
      <c r="G18" s="15" t="s">
        <v>183</v>
      </c>
      <c r="H18" s="15" t="s">
        <v>178</v>
      </c>
      <c r="I18" s="15" t="s">
        <v>194</v>
      </c>
      <c r="J18" s="15" t="s">
        <v>194</v>
      </c>
      <c r="K18" s="15" t="s">
        <v>193</v>
      </c>
      <c r="L18" s="15">
        <v>22.65</v>
      </c>
      <c r="M18" s="15">
        <v>31.6</v>
      </c>
      <c r="N18" s="15">
        <f>L18-M18</f>
        <v>-8.9500000000000028</v>
      </c>
      <c r="O18" s="15">
        <f>10950*N18*$W$12</f>
        <v>-18620.475000000006</v>
      </c>
      <c r="P18" s="14">
        <f>$Y$7+$Y$4+$Y$9</f>
        <v>46702.16</v>
      </c>
      <c r="Q18" s="14">
        <f>O18-P18</f>
        <v>-65322.635000000009</v>
      </c>
      <c r="R18" s="14">
        <f>64933+Q18</f>
        <v>-389.63500000000931</v>
      </c>
    </row>
    <row r="19" spans="1:18" x14ac:dyDescent="0.35">
      <c r="A19" s="15">
        <v>17</v>
      </c>
      <c r="B19" s="15" t="s">
        <v>198</v>
      </c>
      <c r="C19" s="15" t="s">
        <v>200</v>
      </c>
      <c r="D19" s="15" t="s">
        <v>196</v>
      </c>
      <c r="E19" s="15" t="s">
        <v>183</v>
      </c>
      <c r="F19" s="15" t="s">
        <v>199</v>
      </c>
      <c r="G19" s="15" t="s">
        <v>183</v>
      </c>
      <c r="H19" s="15" t="s">
        <v>183</v>
      </c>
      <c r="I19" s="15" t="s">
        <v>194</v>
      </c>
      <c r="J19" s="15" t="s">
        <v>194</v>
      </c>
      <c r="K19" s="15" t="s">
        <v>193</v>
      </c>
      <c r="L19" s="15">
        <v>22.65</v>
      </c>
      <c r="M19" s="15">
        <v>31.6</v>
      </c>
      <c r="N19" s="15">
        <f>L19-M19</f>
        <v>-8.9500000000000028</v>
      </c>
      <c r="O19" s="15">
        <f>10950*N19*$W$12</f>
        <v>-18620.475000000006</v>
      </c>
      <c r="P19" s="14">
        <f>$Y$7+$Y$3+$Y$9</f>
        <v>51952.160000000003</v>
      </c>
      <c r="Q19" s="14">
        <f>O19-P19</f>
        <v>-70572.635000000009</v>
      </c>
      <c r="R19" s="14">
        <f>64933+Q19</f>
        <v>-5639.6350000000093</v>
      </c>
    </row>
    <row r="20" spans="1:18" x14ac:dyDescent="0.35">
      <c r="A20" s="15">
        <v>18</v>
      </c>
      <c r="B20" s="15" t="s">
        <v>198</v>
      </c>
      <c r="C20" s="15" t="s">
        <v>200</v>
      </c>
      <c r="D20" s="15" t="s">
        <v>196</v>
      </c>
      <c r="E20" s="15" t="s">
        <v>183</v>
      </c>
      <c r="F20" s="15" t="s">
        <v>199</v>
      </c>
      <c r="G20" s="15" t="s">
        <v>178</v>
      </c>
      <c r="H20" s="15" t="s">
        <v>178</v>
      </c>
      <c r="I20" s="15" t="s">
        <v>194</v>
      </c>
      <c r="J20" s="15" t="s">
        <v>194</v>
      </c>
      <c r="K20" s="15" t="s">
        <v>193</v>
      </c>
      <c r="L20" s="15">
        <v>22.65</v>
      </c>
      <c r="M20" s="15">
        <v>31.6</v>
      </c>
      <c r="N20" s="15">
        <f>L20-M20</f>
        <v>-8.9500000000000028</v>
      </c>
      <c r="O20" s="15">
        <f>10950*N20*$W$12</f>
        <v>-18620.475000000006</v>
      </c>
      <c r="P20" s="14">
        <f>$Y$6+$Y$4+$Y$9</f>
        <v>44051.02</v>
      </c>
      <c r="Q20" s="14">
        <f>O20-P20</f>
        <v>-62671.495000000003</v>
      </c>
      <c r="R20" s="14">
        <f>64933+Q20</f>
        <v>2261.5049999999974</v>
      </c>
    </row>
    <row r="21" spans="1:18" x14ac:dyDescent="0.35">
      <c r="A21" s="15">
        <v>19</v>
      </c>
      <c r="B21" s="15" t="s">
        <v>198</v>
      </c>
      <c r="C21" s="15" t="s">
        <v>200</v>
      </c>
      <c r="D21" s="15" t="s">
        <v>196</v>
      </c>
      <c r="E21" s="15" t="s">
        <v>183</v>
      </c>
      <c r="F21" s="15" t="s">
        <v>199</v>
      </c>
      <c r="G21" s="15" t="s">
        <v>178</v>
      </c>
      <c r="H21" s="15" t="s">
        <v>183</v>
      </c>
      <c r="I21" s="15" t="s">
        <v>194</v>
      </c>
      <c r="J21" s="15" t="s">
        <v>194</v>
      </c>
      <c r="K21" s="15" t="s">
        <v>193</v>
      </c>
      <c r="L21" s="15">
        <v>22.65</v>
      </c>
      <c r="M21" s="15">
        <v>31.6</v>
      </c>
      <c r="N21" s="15">
        <f>L21-M21</f>
        <v>-8.9500000000000028</v>
      </c>
      <c r="O21" s="15">
        <f>10950*N21*$W$12</f>
        <v>-18620.475000000006</v>
      </c>
      <c r="P21" s="14">
        <f>$Y$6+$Y$3+$Y$9</f>
        <v>49301.020000000004</v>
      </c>
      <c r="Q21" s="14">
        <f>O21-P21</f>
        <v>-67921.49500000001</v>
      </c>
      <c r="R21" s="14">
        <f>64933+Q21</f>
        <v>-2988.4950000000099</v>
      </c>
    </row>
    <row r="22" spans="1:18" x14ac:dyDescent="0.35">
      <c r="A22" s="15">
        <v>20</v>
      </c>
      <c r="B22" s="15" t="s">
        <v>198</v>
      </c>
      <c r="C22" s="15" t="s">
        <v>200</v>
      </c>
      <c r="D22" s="15" t="s">
        <v>196</v>
      </c>
      <c r="E22" s="15" t="s">
        <v>183</v>
      </c>
      <c r="F22" s="15" t="s">
        <v>195</v>
      </c>
      <c r="G22" s="15" t="s">
        <v>183</v>
      </c>
      <c r="H22" s="15" t="s">
        <v>178</v>
      </c>
      <c r="I22" s="15" t="s">
        <v>194</v>
      </c>
      <c r="J22" s="15" t="s">
        <v>194</v>
      </c>
      <c r="K22" s="15" t="s">
        <v>193</v>
      </c>
      <c r="L22" s="15">
        <v>22.65</v>
      </c>
      <c r="M22" s="15">
        <v>31.6</v>
      </c>
      <c r="N22" s="15">
        <f>L22-M22</f>
        <v>-8.9500000000000028</v>
      </c>
      <c r="O22" s="15">
        <f>10950*N22*$W$12</f>
        <v>-18620.475000000006</v>
      </c>
      <c r="P22" s="14">
        <f>$Y$7+$Y$4+$Y$9</f>
        <v>46702.16</v>
      </c>
      <c r="Q22" s="14">
        <f>O22-P22</f>
        <v>-65322.635000000009</v>
      </c>
      <c r="R22" s="14">
        <f>64933+Q22</f>
        <v>-389.63500000000931</v>
      </c>
    </row>
    <row r="23" spans="1:18" x14ac:dyDescent="0.35">
      <c r="A23" s="15">
        <v>21</v>
      </c>
      <c r="B23" s="15" t="s">
        <v>198</v>
      </c>
      <c r="C23" s="15" t="s">
        <v>200</v>
      </c>
      <c r="D23" s="15" t="s">
        <v>196</v>
      </c>
      <c r="E23" s="15" t="s">
        <v>183</v>
      </c>
      <c r="F23" s="15" t="s">
        <v>195</v>
      </c>
      <c r="G23" s="15" t="s">
        <v>183</v>
      </c>
      <c r="H23" s="15" t="s">
        <v>183</v>
      </c>
      <c r="I23" s="15" t="s">
        <v>194</v>
      </c>
      <c r="J23" s="15" t="s">
        <v>194</v>
      </c>
      <c r="K23" s="15" t="s">
        <v>193</v>
      </c>
      <c r="L23" s="15">
        <v>22.65</v>
      </c>
      <c r="M23" s="15">
        <v>31.6</v>
      </c>
      <c r="N23" s="15">
        <f>L23-M23</f>
        <v>-8.9500000000000028</v>
      </c>
      <c r="O23" s="15">
        <f>10950*N23*$W$12</f>
        <v>-18620.475000000006</v>
      </c>
      <c r="P23" s="14">
        <f>$Y$7+$Y$3+$Y$9</f>
        <v>51952.160000000003</v>
      </c>
      <c r="Q23" s="14">
        <f>O23-P23</f>
        <v>-70572.635000000009</v>
      </c>
      <c r="R23" s="14">
        <f>64933+Q23</f>
        <v>-5639.6350000000093</v>
      </c>
    </row>
    <row r="24" spans="1:18" x14ac:dyDescent="0.35">
      <c r="A24" s="15">
        <v>22</v>
      </c>
      <c r="B24" s="15" t="s">
        <v>198</v>
      </c>
      <c r="C24" s="15" t="s">
        <v>200</v>
      </c>
      <c r="D24" s="15" t="s">
        <v>196</v>
      </c>
      <c r="E24" s="15" t="s">
        <v>183</v>
      </c>
      <c r="F24" s="15" t="s">
        <v>195</v>
      </c>
      <c r="G24" s="15" t="s">
        <v>178</v>
      </c>
      <c r="H24" s="15" t="s">
        <v>178</v>
      </c>
      <c r="I24" s="15" t="s">
        <v>194</v>
      </c>
      <c r="J24" s="15" t="s">
        <v>194</v>
      </c>
      <c r="K24" s="15" t="s">
        <v>193</v>
      </c>
      <c r="L24" s="15">
        <v>22.65</v>
      </c>
      <c r="M24" s="15">
        <v>31.6</v>
      </c>
      <c r="N24" s="15">
        <f>L24-M24</f>
        <v>-8.9500000000000028</v>
      </c>
      <c r="O24" s="15">
        <f>10950*N24*$W$12</f>
        <v>-18620.475000000006</v>
      </c>
      <c r="P24" s="14">
        <f>$Y$6+$Y$4+$Y$9</f>
        <v>44051.02</v>
      </c>
      <c r="Q24" s="14">
        <f>O24-P24</f>
        <v>-62671.495000000003</v>
      </c>
      <c r="R24" s="14">
        <f>64933+Q24</f>
        <v>2261.5049999999974</v>
      </c>
    </row>
    <row r="25" spans="1:18" x14ac:dyDescent="0.35">
      <c r="A25" s="15">
        <v>23</v>
      </c>
      <c r="B25" s="15" t="s">
        <v>198</v>
      </c>
      <c r="C25" s="15" t="s">
        <v>200</v>
      </c>
      <c r="D25" s="15" t="s">
        <v>196</v>
      </c>
      <c r="E25" s="15" t="s">
        <v>183</v>
      </c>
      <c r="F25" s="15" t="s">
        <v>195</v>
      </c>
      <c r="G25" s="15" t="s">
        <v>178</v>
      </c>
      <c r="H25" s="15" t="s">
        <v>183</v>
      </c>
      <c r="I25" s="15" t="s">
        <v>194</v>
      </c>
      <c r="J25" s="15" t="s">
        <v>194</v>
      </c>
      <c r="K25" s="15" t="s">
        <v>193</v>
      </c>
      <c r="L25" s="15">
        <v>22.65</v>
      </c>
      <c r="M25" s="15">
        <v>31.6</v>
      </c>
      <c r="N25" s="15">
        <f>L25-M25</f>
        <v>-8.9500000000000028</v>
      </c>
      <c r="O25" s="15">
        <f>10950*N25*$W$12</f>
        <v>-18620.475000000006</v>
      </c>
      <c r="P25" s="14">
        <f>$Y$6+$Y$3+$Y$9</f>
        <v>49301.020000000004</v>
      </c>
      <c r="Q25" s="14">
        <f>O25-P25</f>
        <v>-67921.49500000001</v>
      </c>
      <c r="R25" s="14">
        <f>64933+Q25</f>
        <v>-2988.4950000000099</v>
      </c>
    </row>
    <row r="26" spans="1:18" x14ac:dyDescent="0.35">
      <c r="A26" s="15">
        <v>24</v>
      </c>
      <c r="B26" s="15" t="s">
        <v>198</v>
      </c>
      <c r="C26" s="15" t="s">
        <v>200</v>
      </c>
      <c r="D26" s="15" t="s">
        <v>196</v>
      </c>
      <c r="E26" s="15" t="s">
        <v>178</v>
      </c>
      <c r="F26" s="15" t="s">
        <v>199</v>
      </c>
      <c r="G26" s="15" t="s">
        <v>183</v>
      </c>
      <c r="H26" s="15" t="s">
        <v>178</v>
      </c>
      <c r="I26" s="15" t="s">
        <v>194</v>
      </c>
      <c r="J26" s="15" t="s">
        <v>194</v>
      </c>
      <c r="K26" s="15" t="s">
        <v>193</v>
      </c>
      <c r="L26" s="15">
        <v>22.65</v>
      </c>
      <c r="M26" s="15">
        <v>17.7</v>
      </c>
      <c r="N26" s="15">
        <f>L26-M26</f>
        <v>4.9499999999999993</v>
      </c>
      <c r="O26" s="15">
        <f>10950*N26*$W$12</f>
        <v>10298.474999999999</v>
      </c>
      <c r="P26" s="14">
        <f>$Y$7+$Y$4+$Y$9</f>
        <v>46702.16</v>
      </c>
      <c r="Q26" s="14">
        <f>O26-P26</f>
        <v>-36403.685000000005</v>
      </c>
      <c r="R26" s="14">
        <f>64933+Q26</f>
        <v>28529.314999999995</v>
      </c>
    </row>
    <row r="27" spans="1:18" x14ac:dyDescent="0.35">
      <c r="A27" s="15">
        <v>25</v>
      </c>
      <c r="B27" s="15" t="s">
        <v>198</v>
      </c>
      <c r="C27" s="15" t="s">
        <v>200</v>
      </c>
      <c r="D27" s="15" t="s">
        <v>196</v>
      </c>
      <c r="E27" s="15" t="s">
        <v>178</v>
      </c>
      <c r="F27" s="15" t="s">
        <v>199</v>
      </c>
      <c r="G27" s="15" t="s">
        <v>183</v>
      </c>
      <c r="H27" s="15" t="s">
        <v>183</v>
      </c>
      <c r="I27" s="15" t="s">
        <v>194</v>
      </c>
      <c r="J27" s="15" t="s">
        <v>194</v>
      </c>
      <c r="K27" s="15" t="s">
        <v>193</v>
      </c>
      <c r="L27" s="15">
        <v>22.65</v>
      </c>
      <c r="M27" s="15">
        <v>17.7</v>
      </c>
      <c r="N27" s="15">
        <f>L27-M27</f>
        <v>4.9499999999999993</v>
      </c>
      <c r="O27" s="15">
        <f>10950*N27*$W$12</f>
        <v>10298.474999999999</v>
      </c>
      <c r="P27" s="14">
        <f>$Y$7+$Y$3+$Y$9</f>
        <v>51952.160000000003</v>
      </c>
      <c r="Q27" s="14">
        <f>O27-P27</f>
        <v>-41653.685000000005</v>
      </c>
      <c r="R27" s="14">
        <f>64933+Q27</f>
        <v>23279.314999999995</v>
      </c>
    </row>
    <row r="28" spans="1:18" x14ac:dyDescent="0.35">
      <c r="A28" s="15">
        <v>26</v>
      </c>
      <c r="B28" s="15" t="s">
        <v>198</v>
      </c>
      <c r="C28" s="15" t="s">
        <v>200</v>
      </c>
      <c r="D28" s="15" t="s">
        <v>196</v>
      </c>
      <c r="E28" s="15" t="s">
        <v>178</v>
      </c>
      <c r="F28" s="15" t="s">
        <v>199</v>
      </c>
      <c r="G28" s="15" t="s">
        <v>178</v>
      </c>
      <c r="H28" s="15" t="s">
        <v>178</v>
      </c>
      <c r="I28" s="15" t="s">
        <v>194</v>
      </c>
      <c r="J28" s="15" t="s">
        <v>194</v>
      </c>
      <c r="K28" s="15" t="s">
        <v>193</v>
      </c>
      <c r="L28" s="15">
        <v>22.65</v>
      </c>
      <c r="M28" s="15">
        <v>17.7</v>
      </c>
      <c r="N28" s="15">
        <f>L28-M28</f>
        <v>4.9499999999999993</v>
      </c>
      <c r="O28" s="15">
        <f>10950*N28*$W$12</f>
        <v>10298.474999999999</v>
      </c>
      <c r="P28" s="14">
        <f>$Y$6+$Y$4+$Y$9</f>
        <v>44051.02</v>
      </c>
      <c r="Q28" s="14">
        <f>O28-P28</f>
        <v>-33752.544999999998</v>
      </c>
      <c r="R28" s="14">
        <f>64933+Q28</f>
        <v>31180.455000000002</v>
      </c>
    </row>
    <row r="29" spans="1:18" x14ac:dyDescent="0.35">
      <c r="A29" s="15">
        <v>27</v>
      </c>
      <c r="B29" s="15" t="s">
        <v>198</v>
      </c>
      <c r="C29" s="15" t="s">
        <v>200</v>
      </c>
      <c r="D29" s="15" t="s">
        <v>196</v>
      </c>
      <c r="E29" s="15" t="s">
        <v>178</v>
      </c>
      <c r="F29" s="15" t="s">
        <v>199</v>
      </c>
      <c r="G29" s="15" t="s">
        <v>178</v>
      </c>
      <c r="H29" s="15" t="s">
        <v>183</v>
      </c>
      <c r="I29" s="15" t="s">
        <v>194</v>
      </c>
      <c r="J29" s="15" t="s">
        <v>194</v>
      </c>
      <c r="K29" s="15" t="s">
        <v>193</v>
      </c>
      <c r="L29" s="15">
        <v>22.65</v>
      </c>
      <c r="M29" s="15">
        <v>17.7</v>
      </c>
      <c r="N29" s="15">
        <f>L29-M29</f>
        <v>4.9499999999999993</v>
      </c>
      <c r="O29" s="15">
        <f>10950*N29*$W$12</f>
        <v>10298.474999999999</v>
      </c>
      <c r="P29" s="14">
        <f>$Y$6+$Y$3+$Y$9</f>
        <v>49301.020000000004</v>
      </c>
      <c r="Q29" s="14">
        <f>O29-P29</f>
        <v>-39002.545000000006</v>
      </c>
      <c r="R29" s="14">
        <f>64933+Q29</f>
        <v>25930.454999999994</v>
      </c>
    </row>
    <row r="30" spans="1:18" x14ac:dyDescent="0.35">
      <c r="A30" s="15">
        <v>28</v>
      </c>
      <c r="B30" s="15" t="s">
        <v>198</v>
      </c>
      <c r="C30" s="15" t="s">
        <v>200</v>
      </c>
      <c r="D30" s="15" t="s">
        <v>196</v>
      </c>
      <c r="E30" s="15" t="s">
        <v>178</v>
      </c>
      <c r="F30" s="15" t="s">
        <v>195</v>
      </c>
      <c r="G30" s="15" t="s">
        <v>183</v>
      </c>
      <c r="H30" s="15" t="s">
        <v>178</v>
      </c>
      <c r="I30" s="15" t="s">
        <v>194</v>
      </c>
      <c r="J30" s="15" t="s">
        <v>194</v>
      </c>
      <c r="K30" s="15" t="s">
        <v>193</v>
      </c>
      <c r="L30" s="15">
        <v>22.65</v>
      </c>
      <c r="M30" s="15">
        <v>17.7</v>
      </c>
      <c r="N30" s="15">
        <f>L30-M30</f>
        <v>4.9499999999999993</v>
      </c>
      <c r="O30" s="15">
        <f>10950*N30*$W$12</f>
        <v>10298.474999999999</v>
      </c>
      <c r="P30" s="14">
        <f>$Y$7+$Y$4+$Y$9</f>
        <v>46702.16</v>
      </c>
      <c r="Q30" s="14">
        <f>O30-P30</f>
        <v>-36403.685000000005</v>
      </c>
      <c r="R30" s="14">
        <f>64933+Q30</f>
        <v>28529.314999999995</v>
      </c>
    </row>
    <row r="31" spans="1:18" x14ac:dyDescent="0.35">
      <c r="A31" s="15">
        <v>29</v>
      </c>
      <c r="B31" s="15" t="s">
        <v>198</v>
      </c>
      <c r="C31" s="15" t="s">
        <v>200</v>
      </c>
      <c r="D31" s="15" t="s">
        <v>196</v>
      </c>
      <c r="E31" s="15" t="s">
        <v>178</v>
      </c>
      <c r="F31" s="15" t="s">
        <v>195</v>
      </c>
      <c r="G31" s="15" t="s">
        <v>183</v>
      </c>
      <c r="H31" s="15" t="s">
        <v>183</v>
      </c>
      <c r="I31" s="15" t="s">
        <v>194</v>
      </c>
      <c r="J31" s="15" t="s">
        <v>194</v>
      </c>
      <c r="K31" s="15" t="s">
        <v>193</v>
      </c>
      <c r="L31" s="15">
        <v>22.65</v>
      </c>
      <c r="M31" s="15">
        <v>17.7</v>
      </c>
      <c r="N31" s="15">
        <f>L31-M31</f>
        <v>4.9499999999999993</v>
      </c>
      <c r="O31" s="15">
        <f>10950*N31*$W$12</f>
        <v>10298.474999999999</v>
      </c>
      <c r="P31" s="14">
        <f>$Y$7+$Y$3+$Y$9</f>
        <v>51952.160000000003</v>
      </c>
      <c r="Q31" s="14">
        <f>O31-P31</f>
        <v>-41653.685000000005</v>
      </c>
      <c r="R31" s="14">
        <f>64933+Q31</f>
        <v>23279.314999999995</v>
      </c>
    </row>
    <row r="32" spans="1:18" x14ac:dyDescent="0.35">
      <c r="A32" s="15">
        <v>30</v>
      </c>
      <c r="B32" s="15" t="s">
        <v>198</v>
      </c>
      <c r="C32" s="15" t="s">
        <v>200</v>
      </c>
      <c r="D32" s="15" t="s">
        <v>196</v>
      </c>
      <c r="E32" s="15" t="s">
        <v>178</v>
      </c>
      <c r="F32" s="15" t="s">
        <v>195</v>
      </c>
      <c r="G32" s="15" t="s">
        <v>178</v>
      </c>
      <c r="H32" s="15" t="s">
        <v>178</v>
      </c>
      <c r="I32" s="15" t="s">
        <v>194</v>
      </c>
      <c r="J32" s="15" t="s">
        <v>194</v>
      </c>
      <c r="K32" s="15" t="s">
        <v>193</v>
      </c>
      <c r="L32" s="15">
        <v>22.65</v>
      </c>
      <c r="M32" s="15">
        <v>17.7</v>
      </c>
      <c r="N32" s="15">
        <f>L32-M32</f>
        <v>4.9499999999999993</v>
      </c>
      <c r="O32" s="15">
        <f>10950*N32*$W$12</f>
        <v>10298.474999999999</v>
      </c>
      <c r="P32" s="14">
        <f>$Y$6+$Y$4+$Y$9</f>
        <v>44051.02</v>
      </c>
      <c r="Q32" s="14">
        <f>O32-P32</f>
        <v>-33752.544999999998</v>
      </c>
      <c r="R32" s="14">
        <f>64933+Q32</f>
        <v>31180.455000000002</v>
      </c>
    </row>
    <row r="33" spans="1:18" x14ac:dyDescent="0.35">
      <c r="A33" s="15">
        <v>31</v>
      </c>
      <c r="B33" s="15" t="s">
        <v>198</v>
      </c>
      <c r="C33" s="15" t="s">
        <v>200</v>
      </c>
      <c r="D33" s="15" t="s">
        <v>196</v>
      </c>
      <c r="E33" s="15" t="s">
        <v>178</v>
      </c>
      <c r="F33" s="15" t="s">
        <v>195</v>
      </c>
      <c r="G33" s="15" t="s">
        <v>178</v>
      </c>
      <c r="H33" s="15" t="s">
        <v>183</v>
      </c>
      <c r="I33" s="15" t="s">
        <v>194</v>
      </c>
      <c r="J33" s="15" t="s">
        <v>194</v>
      </c>
      <c r="K33" s="15" t="s">
        <v>193</v>
      </c>
      <c r="L33" s="15">
        <v>22.65</v>
      </c>
      <c r="M33" s="15">
        <v>17.7</v>
      </c>
      <c r="N33" s="15">
        <f>L33-M33</f>
        <v>4.9499999999999993</v>
      </c>
      <c r="O33" s="15">
        <f>10950*N33*$W$12</f>
        <v>10298.474999999999</v>
      </c>
      <c r="P33" s="14">
        <f>$Y$6+$Y$3+$Y$9</f>
        <v>49301.020000000004</v>
      </c>
      <c r="Q33" s="14">
        <f>O33-P33</f>
        <v>-39002.545000000006</v>
      </c>
      <c r="R33" s="14">
        <f>64933+Q33</f>
        <v>25930.454999999994</v>
      </c>
    </row>
    <row r="34" spans="1:18" x14ac:dyDescent="0.35">
      <c r="A34" s="15">
        <v>32</v>
      </c>
      <c r="B34" s="15" t="s">
        <v>198</v>
      </c>
      <c r="C34" s="15" t="s">
        <v>197</v>
      </c>
      <c r="D34" s="15" t="s">
        <v>58</v>
      </c>
      <c r="E34" s="15" t="s">
        <v>183</v>
      </c>
      <c r="F34" s="15" t="s">
        <v>199</v>
      </c>
      <c r="G34" s="15" t="s">
        <v>183</v>
      </c>
      <c r="H34" s="15" t="s">
        <v>178</v>
      </c>
      <c r="I34" s="15" t="s">
        <v>194</v>
      </c>
      <c r="J34" s="15" t="s">
        <v>194</v>
      </c>
      <c r="K34" s="15" t="s">
        <v>193</v>
      </c>
      <c r="L34" s="15">
        <v>29.45</v>
      </c>
      <c r="M34" s="15">
        <v>31.6</v>
      </c>
      <c r="N34" s="15">
        <f>L34-M34</f>
        <v>-2.1500000000000021</v>
      </c>
      <c r="O34" s="15">
        <f>10950*N34*$W$12</f>
        <v>-4473.0750000000044</v>
      </c>
      <c r="P34" s="14">
        <f>$Y$7+$Y$4+$X$10</f>
        <v>20647.16</v>
      </c>
      <c r="Q34" s="14">
        <f>O34-P34</f>
        <v>-25120.235000000004</v>
      </c>
      <c r="R34" s="14">
        <f>64933+Q34</f>
        <v>39812.764999999999</v>
      </c>
    </row>
    <row r="35" spans="1:18" x14ac:dyDescent="0.35">
      <c r="A35" s="15">
        <v>33</v>
      </c>
      <c r="B35" s="15" t="s">
        <v>198</v>
      </c>
      <c r="C35" s="15" t="s">
        <v>197</v>
      </c>
      <c r="D35" s="15" t="s">
        <v>58</v>
      </c>
      <c r="E35" s="15" t="s">
        <v>183</v>
      </c>
      <c r="F35" s="15" t="s">
        <v>199</v>
      </c>
      <c r="G35" s="15" t="s">
        <v>183</v>
      </c>
      <c r="H35" s="15" t="s">
        <v>183</v>
      </c>
      <c r="I35" s="15" t="s">
        <v>194</v>
      </c>
      <c r="J35" s="15" t="s">
        <v>194</v>
      </c>
      <c r="K35" s="15" t="s">
        <v>193</v>
      </c>
      <c r="L35" s="15">
        <v>29.45</v>
      </c>
      <c r="M35" s="15">
        <v>31.6</v>
      </c>
      <c r="N35" s="15">
        <f>L35-M35</f>
        <v>-2.1500000000000021</v>
      </c>
      <c r="O35" s="15">
        <f>10950*N35*$W$12</f>
        <v>-4473.0750000000044</v>
      </c>
      <c r="P35" s="14">
        <f>$Y$7+$Y$3+$X$10</f>
        <v>25897.16</v>
      </c>
      <c r="Q35" s="14">
        <f>O35-P35</f>
        <v>-30370.235000000004</v>
      </c>
      <c r="R35" s="14">
        <f>64933+Q35</f>
        <v>34562.764999999999</v>
      </c>
    </row>
    <row r="36" spans="1:18" x14ac:dyDescent="0.35">
      <c r="A36" s="15">
        <v>34</v>
      </c>
      <c r="B36" s="15" t="s">
        <v>198</v>
      </c>
      <c r="C36" s="15" t="s">
        <v>197</v>
      </c>
      <c r="D36" s="15" t="s">
        <v>58</v>
      </c>
      <c r="E36" s="15" t="s">
        <v>183</v>
      </c>
      <c r="F36" s="15" t="s">
        <v>199</v>
      </c>
      <c r="G36" s="15" t="s">
        <v>178</v>
      </c>
      <c r="H36" s="15" t="s">
        <v>178</v>
      </c>
      <c r="I36" s="15" t="s">
        <v>194</v>
      </c>
      <c r="J36" s="15" t="s">
        <v>194</v>
      </c>
      <c r="K36" s="15" t="s">
        <v>193</v>
      </c>
      <c r="L36" s="15">
        <v>29.45</v>
      </c>
      <c r="M36" s="15">
        <v>31.6</v>
      </c>
      <c r="N36" s="15">
        <f>L36-M36</f>
        <v>-2.1500000000000021</v>
      </c>
      <c r="O36" s="15">
        <f>10950*N36*$W$12</f>
        <v>-4473.0750000000044</v>
      </c>
      <c r="P36" s="14">
        <f>$Y$6+$Y$4+$X$10</f>
        <v>17996.02</v>
      </c>
      <c r="Q36" s="14">
        <f>O36-P36</f>
        <v>-22469.095000000005</v>
      </c>
      <c r="R36" s="14">
        <f>64933+Q36</f>
        <v>42463.904999999999</v>
      </c>
    </row>
    <row r="37" spans="1:18" x14ac:dyDescent="0.35">
      <c r="A37" s="15">
        <v>35</v>
      </c>
      <c r="B37" s="15" t="s">
        <v>198</v>
      </c>
      <c r="C37" s="15" t="s">
        <v>197</v>
      </c>
      <c r="D37" s="15" t="s">
        <v>58</v>
      </c>
      <c r="E37" s="15" t="s">
        <v>183</v>
      </c>
      <c r="F37" s="15" t="s">
        <v>199</v>
      </c>
      <c r="G37" s="15" t="s">
        <v>178</v>
      </c>
      <c r="H37" s="15" t="s">
        <v>183</v>
      </c>
      <c r="I37" s="15" t="s">
        <v>194</v>
      </c>
      <c r="J37" s="15" t="s">
        <v>194</v>
      </c>
      <c r="K37" s="15" t="s">
        <v>193</v>
      </c>
      <c r="L37" s="15">
        <v>29.45</v>
      </c>
      <c r="M37" s="15">
        <v>31.6</v>
      </c>
      <c r="N37" s="15">
        <f>L37-M37</f>
        <v>-2.1500000000000021</v>
      </c>
      <c r="O37" s="15">
        <f>10950*N37*$W$12</f>
        <v>-4473.0750000000044</v>
      </c>
      <c r="P37" s="14">
        <f>$Y$6+$Y$3+$X$10</f>
        <v>23246.02</v>
      </c>
      <c r="Q37" s="14">
        <f>O37-P37</f>
        <v>-27719.095000000005</v>
      </c>
      <c r="R37" s="14">
        <f>64933+Q37</f>
        <v>37213.904999999999</v>
      </c>
    </row>
    <row r="38" spans="1:18" x14ac:dyDescent="0.35">
      <c r="A38" s="15">
        <v>36</v>
      </c>
      <c r="B38" s="15" t="s">
        <v>198</v>
      </c>
      <c r="C38" s="15" t="s">
        <v>197</v>
      </c>
      <c r="D38" s="15" t="s">
        <v>58</v>
      </c>
      <c r="E38" s="15" t="s">
        <v>183</v>
      </c>
      <c r="F38" s="15" t="s">
        <v>195</v>
      </c>
      <c r="G38" s="15" t="s">
        <v>183</v>
      </c>
      <c r="H38" s="15" t="s">
        <v>178</v>
      </c>
      <c r="I38" s="15" t="s">
        <v>194</v>
      </c>
      <c r="J38" s="15" t="s">
        <v>194</v>
      </c>
      <c r="K38" s="15" t="s">
        <v>193</v>
      </c>
      <c r="L38" s="15">
        <v>29.45</v>
      </c>
      <c r="M38" s="15">
        <v>31.6</v>
      </c>
      <c r="N38" s="15">
        <f>L38-M38</f>
        <v>-2.1500000000000021</v>
      </c>
      <c r="O38" s="15">
        <f>10950*N38*$W$12</f>
        <v>-4473.0750000000044</v>
      </c>
      <c r="P38" s="14">
        <f>$Y$7+$Y$4+$X$10</f>
        <v>20647.16</v>
      </c>
      <c r="Q38" s="14">
        <f>O38-P38</f>
        <v>-25120.235000000004</v>
      </c>
      <c r="R38" s="14">
        <f>64933+Q38</f>
        <v>39812.764999999999</v>
      </c>
    </row>
    <row r="39" spans="1:18" x14ac:dyDescent="0.35">
      <c r="A39" s="15">
        <v>37</v>
      </c>
      <c r="B39" s="15" t="s">
        <v>198</v>
      </c>
      <c r="C39" s="15" t="s">
        <v>197</v>
      </c>
      <c r="D39" s="15" t="s">
        <v>58</v>
      </c>
      <c r="E39" s="15" t="s">
        <v>183</v>
      </c>
      <c r="F39" s="15" t="s">
        <v>195</v>
      </c>
      <c r="G39" s="15" t="s">
        <v>183</v>
      </c>
      <c r="H39" s="15" t="s">
        <v>183</v>
      </c>
      <c r="I39" s="15" t="s">
        <v>194</v>
      </c>
      <c r="J39" s="15" t="s">
        <v>194</v>
      </c>
      <c r="K39" s="15" t="s">
        <v>193</v>
      </c>
      <c r="L39" s="15">
        <v>29.45</v>
      </c>
      <c r="M39" s="15">
        <v>31.6</v>
      </c>
      <c r="N39" s="15">
        <f>L39-M39</f>
        <v>-2.1500000000000021</v>
      </c>
      <c r="O39" s="15">
        <f>10950*N39*$W$12</f>
        <v>-4473.0750000000044</v>
      </c>
      <c r="P39" s="14">
        <f>$Y$7+$Y$3+$X$10</f>
        <v>25897.16</v>
      </c>
      <c r="Q39" s="14">
        <f>O39-P39</f>
        <v>-30370.235000000004</v>
      </c>
      <c r="R39" s="14">
        <f>64933+Q39</f>
        <v>34562.764999999999</v>
      </c>
    </row>
    <row r="40" spans="1:18" x14ac:dyDescent="0.35">
      <c r="A40" s="15">
        <v>38</v>
      </c>
      <c r="B40" s="15" t="s">
        <v>198</v>
      </c>
      <c r="C40" s="15" t="s">
        <v>197</v>
      </c>
      <c r="D40" s="15" t="s">
        <v>58</v>
      </c>
      <c r="E40" s="15" t="s">
        <v>183</v>
      </c>
      <c r="F40" s="15" t="s">
        <v>195</v>
      </c>
      <c r="G40" s="15" t="s">
        <v>178</v>
      </c>
      <c r="H40" s="15" t="s">
        <v>178</v>
      </c>
      <c r="I40" s="15" t="s">
        <v>194</v>
      </c>
      <c r="J40" s="15" t="s">
        <v>194</v>
      </c>
      <c r="K40" s="15" t="s">
        <v>193</v>
      </c>
      <c r="L40" s="15">
        <v>29.45</v>
      </c>
      <c r="M40" s="15">
        <v>31.6</v>
      </c>
      <c r="N40" s="15">
        <f>L40-M40</f>
        <v>-2.1500000000000021</v>
      </c>
      <c r="O40" s="15">
        <f>10950*N40*$W$12</f>
        <v>-4473.0750000000044</v>
      </c>
      <c r="P40" s="14">
        <f>$Y$6+$Y$4+$X$10</f>
        <v>17996.02</v>
      </c>
      <c r="Q40" s="14">
        <f>O40-P40</f>
        <v>-22469.095000000005</v>
      </c>
      <c r="R40" s="14">
        <f>64933+Q40</f>
        <v>42463.904999999999</v>
      </c>
    </row>
    <row r="41" spans="1:18" x14ac:dyDescent="0.35">
      <c r="A41" s="15">
        <v>39</v>
      </c>
      <c r="B41" s="15" t="s">
        <v>198</v>
      </c>
      <c r="C41" s="15" t="s">
        <v>197</v>
      </c>
      <c r="D41" s="15" t="s">
        <v>58</v>
      </c>
      <c r="E41" s="15" t="s">
        <v>183</v>
      </c>
      <c r="F41" s="15" t="s">
        <v>195</v>
      </c>
      <c r="G41" s="15" t="s">
        <v>178</v>
      </c>
      <c r="H41" s="15" t="s">
        <v>183</v>
      </c>
      <c r="I41" s="15" t="s">
        <v>194</v>
      </c>
      <c r="J41" s="15" t="s">
        <v>194</v>
      </c>
      <c r="K41" s="15" t="s">
        <v>193</v>
      </c>
      <c r="L41" s="15">
        <v>29.45</v>
      </c>
      <c r="M41" s="15">
        <v>31.6</v>
      </c>
      <c r="N41" s="15">
        <f>L41-M41</f>
        <v>-2.1500000000000021</v>
      </c>
      <c r="O41" s="15">
        <f>10950*N41*$W$12</f>
        <v>-4473.0750000000044</v>
      </c>
      <c r="P41" s="14">
        <f>$Y$6+$Y$3+$X$10</f>
        <v>23246.02</v>
      </c>
      <c r="Q41" s="14">
        <f>O41-P41</f>
        <v>-27719.095000000005</v>
      </c>
      <c r="R41" s="14">
        <f>64933+Q41</f>
        <v>37213.904999999999</v>
      </c>
    </row>
    <row r="42" spans="1:18" x14ac:dyDescent="0.35">
      <c r="A42" s="15">
        <v>40</v>
      </c>
      <c r="B42" s="15" t="s">
        <v>198</v>
      </c>
      <c r="C42" s="15" t="s">
        <v>197</v>
      </c>
      <c r="D42" s="15" t="s">
        <v>58</v>
      </c>
      <c r="E42" s="15" t="s">
        <v>178</v>
      </c>
      <c r="F42" s="15" t="s">
        <v>199</v>
      </c>
      <c r="G42" s="15" t="s">
        <v>183</v>
      </c>
      <c r="H42" s="15" t="s">
        <v>178</v>
      </c>
      <c r="I42" s="15" t="s">
        <v>194</v>
      </c>
      <c r="J42" s="15" t="s">
        <v>194</v>
      </c>
      <c r="K42" s="15" t="s">
        <v>193</v>
      </c>
      <c r="L42" s="15">
        <v>29.45</v>
      </c>
      <c r="M42" s="15">
        <v>17.7</v>
      </c>
      <c r="N42" s="15">
        <f>L42-M42</f>
        <v>11.75</v>
      </c>
      <c r="O42" s="15">
        <f>10950*N42*$W$12</f>
        <v>24445.875</v>
      </c>
      <c r="P42" s="14">
        <f>$Y$7+$Y$4+$X$10</f>
        <v>20647.16</v>
      </c>
      <c r="Q42" s="14">
        <f>O42-P42</f>
        <v>3798.7150000000001</v>
      </c>
      <c r="R42" s="14">
        <f>64933+Q42</f>
        <v>68731.714999999997</v>
      </c>
    </row>
    <row r="43" spans="1:18" x14ac:dyDescent="0.35">
      <c r="A43" s="15">
        <v>41</v>
      </c>
      <c r="B43" s="15" t="s">
        <v>198</v>
      </c>
      <c r="C43" s="15" t="s">
        <v>197</v>
      </c>
      <c r="D43" s="15" t="s">
        <v>58</v>
      </c>
      <c r="E43" s="15" t="s">
        <v>178</v>
      </c>
      <c r="F43" s="15" t="s">
        <v>199</v>
      </c>
      <c r="G43" s="15" t="s">
        <v>183</v>
      </c>
      <c r="H43" s="15" t="s">
        <v>183</v>
      </c>
      <c r="I43" s="15" t="s">
        <v>194</v>
      </c>
      <c r="J43" s="15" t="s">
        <v>194</v>
      </c>
      <c r="K43" s="15" t="s">
        <v>193</v>
      </c>
      <c r="L43" s="15">
        <v>29.45</v>
      </c>
      <c r="M43" s="15">
        <v>17.7</v>
      </c>
      <c r="N43" s="15">
        <f>L43-M43</f>
        <v>11.75</v>
      </c>
      <c r="O43" s="15">
        <f>10950*N43*$W$12</f>
        <v>24445.875</v>
      </c>
      <c r="P43" s="14">
        <f>$Y$7+$Y$3+$X$10</f>
        <v>25897.16</v>
      </c>
      <c r="Q43" s="14">
        <f>O43-P43</f>
        <v>-1451.2849999999999</v>
      </c>
      <c r="R43" s="14">
        <f>64933+Q43</f>
        <v>63481.714999999997</v>
      </c>
    </row>
    <row r="44" spans="1:18" x14ac:dyDescent="0.35">
      <c r="A44" s="15">
        <v>42</v>
      </c>
      <c r="B44" s="15" t="s">
        <v>198</v>
      </c>
      <c r="C44" s="15" t="s">
        <v>197</v>
      </c>
      <c r="D44" s="15" t="s">
        <v>58</v>
      </c>
      <c r="E44" s="15" t="s">
        <v>178</v>
      </c>
      <c r="F44" s="15" t="s">
        <v>199</v>
      </c>
      <c r="G44" s="15" t="s">
        <v>178</v>
      </c>
      <c r="H44" s="15" t="s">
        <v>178</v>
      </c>
      <c r="I44" s="15" t="s">
        <v>194</v>
      </c>
      <c r="J44" s="15" t="s">
        <v>194</v>
      </c>
      <c r="K44" s="15" t="s">
        <v>193</v>
      </c>
      <c r="L44" s="15">
        <v>29.45</v>
      </c>
      <c r="M44" s="15">
        <v>17.7</v>
      </c>
      <c r="N44" s="15">
        <f>L44-M44</f>
        <v>11.75</v>
      </c>
      <c r="O44" s="15">
        <f>10950*N44*$W$12</f>
        <v>24445.875</v>
      </c>
      <c r="P44" s="14">
        <f>$Y$6+$Y$4+$X$10</f>
        <v>17996.02</v>
      </c>
      <c r="Q44" s="14">
        <f>O44-P44</f>
        <v>6449.8549999999996</v>
      </c>
      <c r="R44" s="14">
        <f>64933+Q44</f>
        <v>71382.854999999996</v>
      </c>
    </row>
    <row r="45" spans="1:18" x14ac:dyDescent="0.35">
      <c r="A45" s="15">
        <v>43</v>
      </c>
      <c r="B45" s="15" t="s">
        <v>198</v>
      </c>
      <c r="C45" s="15" t="s">
        <v>197</v>
      </c>
      <c r="D45" s="15" t="s">
        <v>58</v>
      </c>
      <c r="E45" s="15" t="s">
        <v>178</v>
      </c>
      <c r="F45" s="15" t="s">
        <v>199</v>
      </c>
      <c r="G45" s="15" t="s">
        <v>178</v>
      </c>
      <c r="H45" s="15" t="s">
        <v>183</v>
      </c>
      <c r="I45" s="15" t="s">
        <v>194</v>
      </c>
      <c r="J45" s="15" t="s">
        <v>194</v>
      </c>
      <c r="K45" s="15" t="s">
        <v>193</v>
      </c>
      <c r="L45" s="15">
        <v>29.45</v>
      </c>
      <c r="M45" s="15">
        <v>17.7</v>
      </c>
      <c r="N45" s="15">
        <f>L45-M45</f>
        <v>11.75</v>
      </c>
      <c r="O45" s="15">
        <f>10950*N45*$W$12</f>
        <v>24445.875</v>
      </c>
      <c r="P45" s="14">
        <f>$Y$6+$Y$3+$X$10</f>
        <v>23246.02</v>
      </c>
      <c r="Q45" s="14">
        <f>O45-P45</f>
        <v>1199.8549999999996</v>
      </c>
      <c r="R45" s="14">
        <f>64933+Q45</f>
        <v>66132.854999999996</v>
      </c>
    </row>
    <row r="46" spans="1:18" x14ac:dyDescent="0.35">
      <c r="A46" s="15">
        <v>44</v>
      </c>
      <c r="B46" s="15" t="s">
        <v>198</v>
      </c>
      <c r="C46" s="15" t="s">
        <v>197</v>
      </c>
      <c r="D46" s="15" t="s">
        <v>58</v>
      </c>
      <c r="E46" s="15" t="s">
        <v>178</v>
      </c>
      <c r="F46" s="15" t="s">
        <v>195</v>
      </c>
      <c r="G46" s="15" t="s">
        <v>183</v>
      </c>
      <c r="H46" s="15" t="s">
        <v>178</v>
      </c>
      <c r="I46" s="15" t="s">
        <v>194</v>
      </c>
      <c r="J46" s="15" t="s">
        <v>194</v>
      </c>
      <c r="K46" s="15" t="s">
        <v>193</v>
      </c>
      <c r="L46" s="15">
        <v>29.45</v>
      </c>
      <c r="M46" s="15">
        <v>17.7</v>
      </c>
      <c r="N46" s="15">
        <f>L46-M46</f>
        <v>11.75</v>
      </c>
      <c r="O46" s="15">
        <f>10950*N46*$W$12</f>
        <v>24445.875</v>
      </c>
      <c r="P46" s="14">
        <f>$Y$7+$Y$4+$X$10</f>
        <v>20647.16</v>
      </c>
      <c r="Q46" s="14">
        <f>O46-P46</f>
        <v>3798.7150000000001</v>
      </c>
      <c r="R46" s="14">
        <f>64933+Q46</f>
        <v>68731.714999999997</v>
      </c>
    </row>
    <row r="47" spans="1:18" x14ac:dyDescent="0.35">
      <c r="A47" s="15">
        <v>45</v>
      </c>
      <c r="B47" s="15" t="s">
        <v>198</v>
      </c>
      <c r="C47" s="15" t="s">
        <v>197</v>
      </c>
      <c r="D47" s="15" t="s">
        <v>58</v>
      </c>
      <c r="E47" s="15" t="s">
        <v>178</v>
      </c>
      <c r="F47" s="15" t="s">
        <v>195</v>
      </c>
      <c r="G47" s="15" t="s">
        <v>183</v>
      </c>
      <c r="H47" s="15" t="s">
        <v>183</v>
      </c>
      <c r="I47" s="15" t="s">
        <v>194</v>
      </c>
      <c r="J47" s="15" t="s">
        <v>194</v>
      </c>
      <c r="K47" s="15" t="s">
        <v>193</v>
      </c>
      <c r="L47" s="15">
        <v>29.45</v>
      </c>
      <c r="M47" s="15">
        <v>17.7</v>
      </c>
      <c r="N47" s="15">
        <f>L47-M47</f>
        <v>11.75</v>
      </c>
      <c r="O47" s="15">
        <f>10950*N47*$W$12</f>
        <v>24445.875</v>
      </c>
      <c r="P47" s="14">
        <f>$Y$7+$Y$3+$X$10</f>
        <v>25897.16</v>
      </c>
      <c r="Q47" s="14">
        <f>O47-P47</f>
        <v>-1451.2849999999999</v>
      </c>
      <c r="R47" s="14">
        <f>64933+Q47</f>
        <v>63481.714999999997</v>
      </c>
    </row>
    <row r="48" spans="1:18" x14ac:dyDescent="0.35">
      <c r="A48" s="15">
        <v>46</v>
      </c>
      <c r="B48" s="15" t="s">
        <v>198</v>
      </c>
      <c r="C48" s="15" t="s">
        <v>197</v>
      </c>
      <c r="D48" s="15" t="s">
        <v>58</v>
      </c>
      <c r="E48" s="15" t="s">
        <v>178</v>
      </c>
      <c r="F48" s="15" t="s">
        <v>195</v>
      </c>
      <c r="G48" s="15" t="s">
        <v>178</v>
      </c>
      <c r="H48" s="15" t="s">
        <v>178</v>
      </c>
      <c r="I48" s="15" t="s">
        <v>194</v>
      </c>
      <c r="J48" s="15" t="s">
        <v>194</v>
      </c>
      <c r="K48" s="15" t="s">
        <v>193</v>
      </c>
      <c r="L48" s="15">
        <v>29.45</v>
      </c>
      <c r="M48" s="15">
        <v>17.7</v>
      </c>
      <c r="N48" s="15">
        <f>L48-M48</f>
        <v>11.75</v>
      </c>
      <c r="O48" s="15">
        <f>10950*N48*$W$12</f>
        <v>24445.875</v>
      </c>
      <c r="P48" s="14">
        <f>$Y$6+$Y$4+$X$10</f>
        <v>17996.02</v>
      </c>
      <c r="Q48" s="14">
        <f>O48-P48</f>
        <v>6449.8549999999996</v>
      </c>
      <c r="R48" s="14">
        <f>64933+Q48</f>
        <v>71382.854999999996</v>
      </c>
    </row>
    <row r="49" spans="1:18" x14ac:dyDescent="0.35">
      <c r="A49" s="15">
        <v>47</v>
      </c>
      <c r="B49" s="15" t="s">
        <v>198</v>
      </c>
      <c r="C49" s="15" t="s">
        <v>197</v>
      </c>
      <c r="D49" s="15" t="s">
        <v>58</v>
      </c>
      <c r="E49" s="15" t="s">
        <v>178</v>
      </c>
      <c r="F49" s="15" t="s">
        <v>195</v>
      </c>
      <c r="G49" s="15" t="s">
        <v>178</v>
      </c>
      <c r="H49" s="15" t="s">
        <v>183</v>
      </c>
      <c r="I49" s="15" t="s">
        <v>194</v>
      </c>
      <c r="J49" s="15" t="s">
        <v>194</v>
      </c>
      <c r="K49" s="15" t="s">
        <v>193</v>
      </c>
      <c r="L49" s="15">
        <v>29.45</v>
      </c>
      <c r="M49" s="15">
        <v>17.7</v>
      </c>
      <c r="N49" s="15">
        <f>L49-M49</f>
        <v>11.75</v>
      </c>
      <c r="O49" s="15">
        <f>10950*N49*$W$12</f>
        <v>24445.875</v>
      </c>
      <c r="P49" s="14">
        <f>$Y$6+$Y$3+$X$10</f>
        <v>23246.02</v>
      </c>
      <c r="Q49" s="14">
        <f>O49-P49</f>
        <v>1199.8549999999996</v>
      </c>
      <c r="R49" s="14">
        <f>64933+Q49</f>
        <v>66132.854999999996</v>
      </c>
    </row>
    <row r="50" spans="1:18" x14ac:dyDescent="0.35">
      <c r="A50" s="15">
        <v>48</v>
      </c>
      <c r="B50" s="15" t="s">
        <v>198</v>
      </c>
      <c r="C50" s="15" t="s">
        <v>197</v>
      </c>
      <c r="D50" s="15" t="s">
        <v>196</v>
      </c>
      <c r="E50" s="15" t="s">
        <v>183</v>
      </c>
      <c r="F50" s="15" t="s">
        <v>199</v>
      </c>
      <c r="G50" s="15" t="s">
        <v>183</v>
      </c>
      <c r="H50" s="15" t="s">
        <v>178</v>
      </c>
      <c r="I50" s="15" t="s">
        <v>194</v>
      </c>
      <c r="J50" s="15" t="s">
        <v>194</v>
      </c>
      <c r="K50" s="15" t="s">
        <v>193</v>
      </c>
      <c r="L50" s="15">
        <v>22.65</v>
      </c>
      <c r="M50" s="15">
        <v>31.6</v>
      </c>
      <c r="N50" s="15">
        <f>L50-M50</f>
        <v>-8.9500000000000028</v>
      </c>
      <c r="O50" s="15">
        <f>10950*N50*$W$12</f>
        <v>-18620.475000000006</v>
      </c>
      <c r="P50" s="14">
        <f>$Y$7+$Y$4+$X$10</f>
        <v>20647.16</v>
      </c>
      <c r="Q50" s="14">
        <f>O50-P50</f>
        <v>-39267.635000000009</v>
      </c>
      <c r="R50" s="14">
        <f>64933+Q50</f>
        <v>25665.364999999991</v>
      </c>
    </row>
    <row r="51" spans="1:18" x14ac:dyDescent="0.35">
      <c r="A51" s="15">
        <v>49</v>
      </c>
      <c r="B51" s="15" t="s">
        <v>198</v>
      </c>
      <c r="C51" s="15" t="s">
        <v>197</v>
      </c>
      <c r="D51" s="15" t="s">
        <v>196</v>
      </c>
      <c r="E51" s="15" t="s">
        <v>183</v>
      </c>
      <c r="F51" s="15" t="s">
        <v>199</v>
      </c>
      <c r="G51" s="15" t="s">
        <v>183</v>
      </c>
      <c r="H51" s="15" t="s">
        <v>183</v>
      </c>
      <c r="I51" s="15" t="s">
        <v>194</v>
      </c>
      <c r="J51" s="15" t="s">
        <v>194</v>
      </c>
      <c r="K51" s="15" t="s">
        <v>193</v>
      </c>
      <c r="L51" s="15">
        <v>22.65</v>
      </c>
      <c r="M51" s="15">
        <v>31.6</v>
      </c>
      <c r="N51" s="15">
        <f>L51-M51</f>
        <v>-8.9500000000000028</v>
      </c>
      <c r="O51" s="15">
        <f>10950*N51*$W$12</f>
        <v>-18620.475000000006</v>
      </c>
      <c r="P51" s="14">
        <f>$Y$7+$Y$3+$X$10</f>
        <v>25897.16</v>
      </c>
      <c r="Q51" s="14">
        <f>O51-P51</f>
        <v>-44517.635000000009</v>
      </c>
      <c r="R51" s="14">
        <f>64933+Q51</f>
        <v>20415.364999999991</v>
      </c>
    </row>
    <row r="52" spans="1:18" x14ac:dyDescent="0.35">
      <c r="A52" s="15">
        <v>50</v>
      </c>
      <c r="B52" s="15" t="s">
        <v>198</v>
      </c>
      <c r="C52" s="15" t="s">
        <v>197</v>
      </c>
      <c r="D52" s="15" t="s">
        <v>196</v>
      </c>
      <c r="E52" s="15" t="s">
        <v>183</v>
      </c>
      <c r="F52" s="15" t="s">
        <v>199</v>
      </c>
      <c r="G52" s="15" t="s">
        <v>178</v>
      </c>
      <c r="H52" s="15" t="s">
        <v>178</v>
      </c>
      <c r="I52" s="15" t="s">
        <v>194</v>
      </c>
      <c r="J52" s="15" t="s">
        <v>194</v>
      </c>
      <c r="K52" s="15" t="s">
        <v>193</v>
      </c>
      <c r="L52" s="15">
        <v>22.65</v>
      </c>
      <c r="M52" s="15">
        <v>31.6</v>
      </c>
      <c r="N52" s="15">
        <f>L52-M52</f>
        <v>-8.9500000000000028</v>
      </c>
      <c r="O52" s="15">
        <f>10950*N52*$W$12</f>
        <v>-18620.475000000006</v>
      </c>
      <c r="P52" s="14">
        <f>$Y$6+$Y$4+$X$10</f>
        <v>17996.02</v>
      </c>
      <c r="Q52" s="14">
        <f>O52-P52</f>
        <v>-36616.49500000001</v>
      </c>
      <c r="R52" s="14">
        <f>64933+Q52</f>
        <v>28316.50499999999</v>
      </c>
    </row>
    <row r="53" spans="1:18" x14ac:dyDescent="0.35">
      <c r="A53" s="15">
        <v>51</v>
      </c>
      <c r="B53" s="15" t="s">
        <v>198</v>
      </c>
      <c r="C53" s="15" t="s">
        <v>197</v>
      </c>
      <c r="D53" s="15" t="s">
        <v>196</v>
      </c>
      <c r="E53" s="15" t="s">
        <v>183</v>
      </c>
      <c r="F53" s="15" t="s">
        <v>199</v>
      </c>
      <c r="G53" s="15" t="s">
        <v>178</v>
      </c>
      <c r="H53" s="15" t="s">
        <v>183</v>
      </c>
      <c r="I53" s="15" t="s">
        <v>194</v>
      </c>
      <c r="J53" s="15" t="s">
        <v>194</v>
      </c>
      <c r="K53" s="15" t="s">
        <v>193</v>
      </c>
      <c r="L53" s="15">
        <v>22.65</v>
      </c>
      <c r="M53" s="15">
        <v>31.6</v>
      </c>
      <c r="N53" s="15">
        <f>L53-M53</f>
        <v>-8.9500000000000028</v>
      </c>
      <c r="O53" s="15">
        <f>10950*N53*$W$12</f>
        <v>-18620.475000000006</v>
      </c>
      <c r="P53" s="14">
        <f>$Y$6+$Y$3+$X$10</f>
        <v>23246.02</v>
      </c>
      <c r="Q53" s="14">
        <f>O53-P53</f>
        <v>-41866.49500000001</v>
      </c>
      <c r="R53" s="14">
        <f>64933+Q53</f>
        <v>23066.50499999999</v>
      </c>
    </row>
    <row r="54" spans="1:18" x14ac:dyDescent="0.35">
      <c r="A54" s="15">
        <v>52</v>
      </c>
      <c r="B54" s="15" t="s">
        <v>198</v>
      </c>
      <c r="C54" s="15" t="s">
        <v>197</v>
      </c>
      <c r="D54" s="15" t="s">
        <v>196</v>
      </c>
      <c r="E54" s="15" t="s">
        <v>183</v>
      </c>
      <c r="F54" s="15" t="s">
        <v>195</v>
      </c>
      <c r="G54" s="15" t="s">
        <v>183</v>
      </c>
      <c r="H54" s="15" t="s">
        <v>178</v>
      </c>
      <c r="I54" s="15" t="s">
        <v>194</v>
      </c>
      <c r="J54" s="15" t="s">
        <v>194</v>
      </c>
      <c r="K54" s="15" t="s">
        <v>193</v>
      </c>
      <c r="L54" s="15">
        <v>22.65</v>
      </c>
      <c r="M54" s="15">
        <v>31.6</v>
      </c>
      <c r="N54" s="15">
        <f>L54-M54</f>
        <v>-8.9500000000000028</v>
      </c>
      <c r="O54" s="15">
        <f>10950*N54*$W$12</f>
        <v>-18620.475000000006</v>
      </c>
      <c r="P54" s="14">
        <f>$Y$7+$Y$4+$X$10</f>
        <v>20647.16</v>
      </c>
      <c r="Q54" s="14">
        <f>O54-P54</f>
        <v>-39267.635000000009</v>
      </c>
      <c r="R54" s="14">
        <f>64933+Q54</f>
        <v>25665.364999999991</v>
      </c>
    </row>
    <row r="55" spans="1:18" x14ac:dyDescent="0.35">
      <c r="A55" s="15">
        <v>53</v>
      </c>
      <c r="B55" s="15" t="s">
        <v>198</v>
      </c>
      <c r="C55" s="15" t="s">
        <v>197</v>
      </c>
      <c r="D55" s="15" t="s">
        <v>196</v>
      </c>
      <c r="E55" s="15" t="s">
        <v>183</v>
      </c>
      <c r="F55" s="15" t="s">
        <v>195</v>
      </c>
      <c r="G55" s="15" t="s">
        <v>183</v>
      </c>
      <c r="H55" s="15" t="s">
        <v>183</v>
      </c>
      <c r="I55" s="15" t="s">
        <v>194</v>
      </c>
      <c r="J55" s="15" t="s">
        <v>194</v>
      </c>
      <c r="K55" s="15" t="s">
        <v>193</v>
      </c>
      <c r="L55" s="15">
        <v>22.65</v>
      </c>
      <c r="M55" s="15">
        <v>31.6</v>
      </c>
      <c r="N55" s="15">
        <f>L55-M55</f>
        <v>-8.9500000000000028</v>
      </c>
      <c r="O55" s="15">
        <f>10950*N55*$W$12</f>
        <v>-18620.475000000006</v>
      </c>
      <c r="P55" s="14">
        <f>$Y$7+$Y$3+$X$10</f>
        <v>25897.16</v>
      </c>
      <c r="Q55" s="14">
        <f>O55-P55</f>
        <v>-44517.635000000009</v>
      </c>
      <c r="R55" s="14">
        <f>64933+Q55</f>
        <v>20415.364999999991</v>
      </c>
    </row>
    <row r="56" spans="1:18" x14ac:dyDescent="0.35">
      <c r="A56" s="15">
        <v>54</v>
      </c>
      <c r="B56" s="15" t="s">
        <v>198</v>
      </c>
      <c r="C56" s="15" t="s">
        <v>197</v>
      </c>
      <c r="D56" s="15" t="s">
        <v>196</v>
      </c>
      <c r="E56" s="15" t="s">
        <v>183</v>
      </c>
      <c r="F56" s="15" t="s">
        <v>195</v>
      </c>
      <c r="G56" s="15" t="s">
        <v>178</v>
      </c>
      <c r="H56" s="15" t="s">
        <v>178</v>
      </c>
      <c r="I56" s="15" t="s">
        <v>194</v>
      </c>
      <c r="J56" s="15" t="s">
        <v>194</v>
      </c>
      <c r="K56" s="15" t="s">
        <v>193</v>
      </c>
      <c r="L56" s="15">
        <v>22.65</v>
      </c>
      <c r="M56" s="15">
        <v>31.6</v>
      </c>
      <c r="N56" s="15">
        <f>L56-M56</f>
        <v>-8.9500000000000028</v>
      </c>
      <c r="O56" s="15">
        <f>10950*N56*$W$12</f>
        <v>-18620.475000000006</v>
      </c>
      <c r="P56" s="14">
        <f>$Y$6+$Y$4+$X$10</f>
        <v>17996.02</v>
      </c>
      <c r="Q56" s="14">
        <f>O56-P56</f>
        <v>-36616.49500000001</v>
      </c>
      <c r="R56" s="14">
        <f>64933+Q56</f>
        <v>28316.50499999999</v>
      </c>
    </row>
    <row r="57" spans="1:18" x14ac:dyDescent="0.35">
      <c r="A57" s="15">
        <v>55</v>
      </c>
      <c r="B57" s="15" t="s">
        <v>198</v>
      </c>
      <c r="C57" s="15" t="s">
        <v>197</v>
      </c>
      <c r="D57" s="15" t="s">
        <v>196</v>
      </c>
      <c r="E57" s="15" t="s">
        <v>183</v>
      </c>
      <c r="F57" s="15" t="s">
        <v>195</v>
      </c>
      <c r="G57" s="15" t="s">
        <v>178</v>
      </c>
      <c r="H57" s="15" t="s">
        <v>183</v>
      </c>
      <c r="I57" s="15" t="s">
        <v>194</v>
      </c>
      <c r="J57" s="15" t="s">
        <v>194</v>
      </c>
      <c r="K57" s="15" t="s">
        <v>193</v>
      </c>
      <c r="L57" s="15">
        <v>22.65</v>
      </c>
      <c r="M57" s="15">
        <v>31.6</v>
      </c>
      <c r="N57" s="15">
        <f>L57-M57</f>
        <v>-8.9500000000000028</v>
      </c>
      <c r="O57" s="15">
        <f>10950*N57*$W$12</f>
        <v>-18620.475000000006</v>
      </c>
      <c r="P57" s="14">
        <f>$Y$6+$Y$3+$X$10</f>
        <v>23246.02</v>
      </c>
      <c r="Q57" s="14">
        <f>O57-P57</f>
        <v>-41866.49500000001</v>
      </c>
      <c r="R57" s="14">
        <f>64933+Q57</f>
        <v>23066.50499999999</v>
      </c>
    </row>
    <row r="58" spans="1:18" x14ac:dyDescent="0.35">
      <c r="A58" s="15">
        <v>56</v>
      </c>
      <c r="B58" s="15" t="s">
        <v>198</v>
      </c>
      <c r="C58" s="15" t="s">
        <v>197</v>
      </c>
      <c r="D58" s="15" t="s">
        <v>196</v>
      </c>
      <c r="E58" s="15" t="s">
        <v>178</v>
      </c>
      <c r="F58" s="15" t="s">
        <v>199</v>
      </c>
      <c r="G58" s="15" t="s">
        <v>183</v>
      </c>
      <c r="H58" s="15" t="s">
        <v>178</v>
      </c>
      <c r="I58" s="15" t="s">
        <v>194</v>
      </c>
      <c r="J58" s="15" t="s">
        <v>194</v>
      </c>
      <c r="K58" s="15" t="s">
        <v>193</v>
      </c>
      <c r="L58" s="15">
        <v>22.65</v>
      </c>
      <c r="M58" s="15">
        <v>17.7</v>
      </c>
      <c r="N58" s="15">
        <f>L58-M58</f>
        <v>4.9499999999999993</v>
      </c>
      <c r="O58" s="15">
        <f>10950*N58*$W$12</f>
        <v>10298.474999999999</v>
      </c>
      <c r="P58" s="14">
        <f>$Y$7+$Y$4+$X$10</f>
        <v>20647.16</v>
      </c>
      <c r="Q58" s="14">
        <f>O58-P58</f>
        <v>-10348.685000000001</v>
      </c>
      <c r="R58" s="14">
        <f>64933+Q58</f>
        <v>54584.315000000002</v>
      </c>
    </row>
    <row r="59" spans="1:18" x14ac:dyDescent="0.35">
      <c r="A59" s="15">
        <v>57</v>
      </c>
      <c r="B59" s="15" t="s">
        <v>198</v>
      </c>
      <c r="C59" s="15" t="s">
        <v>197</v>
      </c>
      <c r="D59" s="15" t="s">
        <v>196</v>
      </c>
      <c r="E59" s="15" t="s">
        <v>178</v>
      </c>
      <c r="F59" s="15" t="s">
        <v>199</v>
      </c>
      <c r="G59" s="15" t="s">
        <v>183</v>
      </c>
      <c r="H59" s="15" t="s">
        <v>183</v>
      </c>
      <c r="I59" s="15" t="s">
        <v>194</v>
      </c>
      <c r="J59" s="15" t="s">
        <v>194</v>
      </c>
      <c r="K59" s="15" t="s">
        <v>193</v>
      </c>
      <c r="L59" s="15">
        <v>22.65</v>
      </c>
      <c r="M59" s="15">
        <v>17.7</v>
      </c>
      <c r="N59" s="15">
        <f>L59-M59</f>
        <v>4.9499999999999993</v>
      </c>
      <c r="O59" s="15">
        <f>10950*N59*$W$12</f>
        <v>10298.474999999999</v>
      </c>
      <c r="P59" s="14">
        <f>$Y$7+$Y$3+$X$10</f>
        <v>25897.16</v>
      </c>
      <c r="Q59" s="14">
        <f>O59-P59</f>
        <v>-15598.685000000001</v>
      </c>
      <c r="R59" s="14">
        <f>64933+Q59</f>
        <v>49334.315000000002</v>
      </c>
    </row>
    <row r="60" spans="1:18" x14ac:dyDescent="0.35">
      <c r="A60" s="15">
        <v>58</v>
      </c>
      <c r="B60" s="15" t="s">
        <v>198</v>
      </c>
      <c r="C60" s="15" t="s">
        <v>197</v>
      </c>
      <c r="D60" s="15" t="s">
        <v>196</v>
      </c>
      <c r="E60" s="15" t="s">
        <v>178</v>
      </c>
      <c r="F60" s="15" t="s">
        <v>199</v>
      </c>
      <c r="G60" s="15" t="s">
        <v>178</v>
      </c>
      <c r="H60" s="15" t="s">
        <v>178</v>
      </c>
      <c r="I60" s="15" t="s">
        <v>194</v>
      </c>
      <c r="J60" s="15" t="s">
        <v>194</v>
      </c>
      <c r="K60" s="15" t="s">
        <v>193</v>
      </c>
      <c r="L60" s="15">
        <v>22.65</v>
      </c>
      <c r="M60" s="15">
        <v>17.7</v>
      </c>
      <c r="N60" s="15">
        <f>L60-M60</f>
        <v>4.9499999999999993</v>
      </c>
      <c r="O60" s="15">
        <f>10950*N60*$W$12</f>
        <v>10298.474999999999</v>
      </c>
      <c r="P60" s="14">
        <f>$Y$6+$Y$4+$X$10</f>
        <v>17996.02</v>
      </c>
      <c r="Q60" s="14">
        <f>O60-P60</f>
        <v>-7697.5450000000019</v>
      </c>
      <c r="R60" s="14">
        <f>64933+Q60</f>
        <v>57235.455000000002</v>
      </c>
    </row>
    <row r="61" spans="1:18" x14ac:dyDescent="0.35">
      <c r="A61" s="15">
        <v>59</v>
      </c>
      <c r="B61" s="15" t="s">
        <v>198</v>
      </c>
      <c r="C61" s="15" t="s">
        <v>197</v>
      </c>
      <c r="D61" s="15" t="s">
        <v>196</v>
      </c>
      <c r="E61" s="15" t="s">
        <v>178</v>
      </c>
      <c r="F61" s="15" t="s">
        <v>199</v>
      </c>
      <c r="G61" s="15" t="s">
        <v>178</v>
      </c>
      <c r="H61" s="15" t="s">
        <v>183</v>
      </c>
      <c r="I61" s="15" t="s">
        <v>194</v>
      </c>
      <c r="J61" s="15" t="s">
        <v>194</v>
      </c>
      <c r="K61" s="15" t="s">
        <v>193</v>
      </c>
      <c r="L61" s="15">
        <v>22.65</v>
      </c>
      <c r="M61" s="15">
        <v>17.7</v>
      </c>
      <c r="N61" s="15">
        <f>L61-M61</f>
        <v>4.9499999999999993</v>
      </c>
      <c r="O61" s="15">
        <f>10950*N61*$W$12</f>
        <v>10298.474999999999</v>
      </c>
      <c r="P61" s="14">
        <f>$Y$6+$Y$3+$X$10</f>
        <v>23246.02</v>
      </c>
      <c r="Q61" s="14">
        <f>O61-P61</f>
        <v>-12947.545000000002</v>
      </c>
      <c r="R61" s="14">
        <f>64933+Q61</f>
        <v>51985.455000000002</v>
      </c>
    </row>
    <row r="62" spans="1:18" x14ac:dyDescent="0.35">
      <c r="A62" s="15">
        <v>60</v>
      </c>
      <c r="B62" s="15" t="s">
        <v>198</v>
      </c>
      <c r="C62" s="15" t="s">
        <v>197</v>
      </c>
      <c r="D62" s="15" t="s">
        <v>196</v>
      </c>
      <c r="E62" s="15" t="s">
        <v>178</v>
      </c>
      <c r="F62" s="15" t="s">
        <v>195</v>
      </c>
      <c r="G62" s="15" t="s">
        <v>183</v>
      </c>
      <c r="H62" s="15" t="s">
        <v>178</v>
      </c>
      <c r="I62" s="15" t="s">
        <v>194</v>
      </c>
      <c r="J62" s="15" t="s">
        <v>194</v>
      </c>
      <c r="K62" s="15" t="s">
        <v>193</v>
      </c>
      <c r="L62" s="15">
        <v>22.65</v>
      </c>
      <c r="M62" s="15">
        <v>17.7</v>
      </c>
      <c r="N62" s="15">
        <f>L62-M62</f>
        <v>4.9499999999999993</v>
      </c>
      <c r="O62" s="15">
        <f>10950*N62*$W$12</f>
        <v>10298.474999999999</v>
      </c>
      <c r="P62" s="14">
        <f>$Y$7+$Y$4+$X$10</f>
        <v>20647.16</v>
      </c>
      <c r="Q62" s="14">
        <f>O62-P62</f>
        <v>-10348.685000000001</v>
      </c>
      <c r="R62" s="14">
        <f>64933+Q62</f>
        <v>54584.315000000002</v>
      </c>
    </row>
    <row r="63" spans="1:18" x14ac:dyDescent="0.35">
      <c r="A63" s="15">
        <v>61</v>
      </c>
      <c r="B63" s="15" t="s">
        <v>198</v>
      </c>
      <c r="C63" s="15" t="s">
        <v>197</v>
      </c>
      <c r="D63" s="15" t="s">
        <v>196</v>
      </c>
      <c r="E63" s="15" t="s">
        <v>178</v>
      </c>
      <c r="F63" s="15" t="s">
        <v>195</v>
      </c>
      <c r="G63" s="15" t="s">
        <v>183</v>
      </c>
      <c r="H63" s="15" t="s">
        <v>183</v>
      </c>
      <c r="I63" s="15" t="s">
        <v>194</v>
      </c>
      <c r="J63" s="15" t="s">
        <v>194</v>
      </c>
      <c r="K63" s="15" t="s">
        <v>193</v>
      </c>
      <c r="L63" s="15">
        <v>22.65</v>
      </c>
      <c r="M63" s="15">
        <v>17.7</v>
      </c>
      <c r="N63" s="15">
        <f>L63-M63</f>
        <v>4.9499999999999993</v>
      </c>
      <c r="O63" s="15">
        <f>10950*N63*$W$12</f>
        <v>10298.474999999999</v>
      </c>
      <c r="P63" s="14">
        <f>$Y$7+$Y$3+$X$10</f>
        <v>25897.16</v>
      </c>
      <c r="Q63" s="14">
        <f>O63-P63</f>
        <v>-15598.685000000001</v>
      </c>
      <c r="R63" s="14">
        <f>64933+Q63</f>
        <v>49334.315000000002</v>
      </c>
    </row>
    <row r="64" spans="1:18" x14ac:dyDescent="0.35">
      <c r="A64" s="15">
        <v>62</v>
      </c>
      <c r="B64" s="15" t="s">
        <v>198</v>
      </c>
      <c r="C64" s="15" t="s">
        <v>197</v>
      </c>
      <c r="D64" s="15" t="s">
        <v>196</v>
      </c>
      <c r="E64" s="15" t="s">
        <v>178</v>
      </c>
      <c r="F64" s="15" t="s">
        <v>195</v>
      </c>
      <c r="G64" s="15" t="s">
        <v>178</v>
      </c>
      <c r="H64" s="15" t="s">
        <v>178</v>
      </c>
      <c r="I64" s="15" t="s">
        <v>194</v>
      </c>
      <c r="J64" s="15" t="s">
        <v>194</v>
      </c>
      <c r="K64" s="15" t="s">
        <v>193</v>
      </c>
      <c r="L64" s="15">
        <v>22.65</v>
      </c>
      <c r="M64" s="15">
        <v>17.7</v>
      </c>
      <c r="N64" s="15">
        <f>L64-M64</f>
        <v>4.9499999999999993</v>
      </c>
      <c r="O64" s="15">
        <f>10950*N64*$W$12</f>
        <v>10298.474999999999</v>
      </c>
      <c r="P64" s="14">
        <f>$Y$6+$Y$4+$X$10</f>
        <v>17996.02</v>
      </c>
      <c r="Q64" s="14">
        <f>O64-P64</f>
        <v>-7697.5450000000019</v>
      </c>
      <c r="R64" s="14">
        <f>64933+Q64</f>
        <v>57235.455000000002</v>
      </c>
    </row>
    <row r="65" spans="1:18" x14ac:dyDescent="0.35">
      <c r="A65" s="15">
        <v>63</v>
      </c>
      <c r="B65" s="15" t="s">
        <v>198</v>
      </c>
      <c r="C65" s="15" t="s">
        <v>197</v>
      </c>
      <c r="D65" s="15" t="s">
        <v>196</v>
      </c>
      <c r="E65" s="15" t="s">
        <v>178</v>
      </c>
      <c r="F65" s="15" t="s">
        <v>195</v>
      </c>
      <c r="G65" s="15" t="s">
        <v>178</v>
      </c>
      <c r="H65" s="15" t="s">
        <v>183</v>
      </c>
      <c r="I65" s="15" t="s">
        <v>194</v>
      </c>
      <c r="J65" s="15" t="s">
        <v>194</v>
      </c>
      <c r="K65" s="15" t="s">
        <v>193</v>
      </c>
      <c r="L65" s="15">
        <v>22.65</v>
      </c>
      <c r="M65" s="15">
        <v>17.7</v>
      </c>
      <c r="N65" s="15">
        <f>L65-M65</f>
        <v>4.9499999999999993</v>
      </c>
      <c r="O65" s="15">
        <f>10950*N65*$W$12</f>
        <v>10298.474999999999</v>
      </c>
      <c r="P65" s="14">
        <f>$Y$6+$Y$3+$X$10</f>
        <v>23246.02</v>
      </c>
      <c r="Q65" s="14">
        <f>O65-P65</f>
        <v>-12947.545000000002</v>
      </c>
      <c r="R65" s="14">
        <f>64933+Q65</f>
        <v>51985.455000000002</v>
      </c>
    </row>
    <row r="66" spans="1:18" x14ac:dyDescent="0.35">
      <c r="A66" s="19"/>
      <c r="B66" s="19"/>
      <c r="C66" s="19"/>
      <c r="D66" s="19"/>
      <c r="E66" s="19"/>
      <c r="F66" s="19"/>
      <c r="G66" s="19"/>
      <c r="H66" s="19"/>
      <c r="I66" s="19" t="s">
        <v>185</v>
      </c>
      <c r="J66" s="19" t="s">
        <v>184</v>
      </c>
      <c r="K66" s="19" t="s">
        <v>180</v>
      </c>
      <c r="L66" s="19"/>
      <c r="M66" s="19"/>
      <c r="N66" s="19"/>
      <c r="O66" s="19"/>
      <c r="P66" s="19"/>
      <c r="Q66" s="18"/>
      <c r="R66" s="18"/>
    </row>
    <row r="67" spans="1:18" x14ac:dyDescent="0.35">
      <c r="A67" s="19"/>
      <c r="B67" s="19"/>
      <c r="C67" s="19"/>
      <c r="D67" s="19"/>
      <c r="E67" s="19"/>
      <c r="F67" s="19"/>
      <c r="G67" s="19"/>
      <c r="H67" s="19"/>
      <c r="I67" s="19" t="s">
        <v>185</v>
      </c>
      <c r="J67" s="19" t="s">
        <v>181</v>
      </c>
      <c r="K67" s="19" t="s">
        <v>180</v>
      </c>
      <c r="L67" s="19"/>
      <c r="M67" s="19"/>
      <c r="N67" s="19"/>
      <c r="O67" s="19"/>
      <c r="P67" s="19"/>
      <c r="Q67" s="18"/>
      <c r="R67" s="18"/>
    </row>
    <row r="68" spans="1:18" x14ac:dyDescent="0.35">
      <c r="A68" s="19"/>
      <c r="B68" s="19"/>
      <c r="C68" s="19"/>
      <c r="D68" s="19"/>
      <c r="E68" s="19"/>
      <c r="F68" s="19"/>
      <c r="G68" s="19"/>
      <c r="H68" s="19"/>
      <c r="I68" s="19" t="s">
        <v>185</v>
      </c>
      <c r="J68" s="19" t="s">
        <v>184</v>
      </c>
      <c r="K68" s="19" t="s">
        <v>180</v>
      </c>
      <c r="L68" s="19"/>
      <c r="M68" s="19"/>
      <c r="N68" s="19"/>
      <c r="O68" s="19"/>
      <c r="P68" s="19"/>
      <c r="Q68" s="18"/>
      <c r="R68" s="18"/>
    </row>
    <row r="69" spans="1:18" x14ac:dyDescent="0.35">
      <c r="A69" s="19"/>
      <c r="B69" s="19"/>
      <c r="C69" s="19"/>
      <c r="D69" s="19"/>
      <c r="E69" s="19"/>
      <c r="F69" s="19"/>
      <c r="G69" s="19"/>
      <c r="H69" s="19"/>
      <c r="I69" s="19" t="s">
        <v>185</v>
      </c>
      <c r="J69" s="19" t="s">
        <v>181</v>
      </c>
      <c r="K69" s="19" t="s">
        <v>180</v>
      </c>
      <c r="L69" s="19"/>
      <c r="M69" s="19"/>
      <c r="N69" s="19"/>
      <c r="O69" s="19"/>
      <c r="P69" s="19"/>
      <c r="Q69" s="18"/>
      <c r="R69" s="18"/>
    </row>
    <row r="70" spans="1:18" x14ac:dyDescent="0.35">
      <c r="A70" s="19"/>
      <c r="B70" s="19"/>
      <c r="C70" s="19"/>
      <c r="D70" s="19"/>
      <c r="E70" s="19"/>
      <c r="F70" s="19"/>
      <c r="G70" s="19"/>
      <c r="H70" s="19"/>
      <c r="I70" s="19" t="s">
        <v>186</v>
      </c>
      <c r="J70" s="19" t="s">
        <v>184</v>
      </c>
      <c r="K70" s="19" t="s">
        <v>180</v>
      </c>
      <c r="L70" s="19"/>
      <c r="M70" s="19"/>
      <c r="N70" s="19"/>
      <c r="O70" s="19"/>
      <c r="P70" s="19"/>
      <c r="Q70" s="18"/>
      <c r="R70" s="18"/>
    </row>
    <row r="71" spans="1:18" x14ac:dyDescent="0.35">
      <c r="A71" s="17" t="s">
        <v>192</v>
      </c>
      <c r="B71" s="17" t="s">
        <v>191</v>
      </c>
      <c r="C71" s="17" t="s">
        <v>190</v>
      </c>
      <c r="D71" s="15" t="s">
        <v>189</v>
      </c>
      <c r="E71" s="15" t="s">
        <v>188</v>
      </c>
      <c r="F71" s="15" t="s">
        <v>187</v>
      </c>
      <c r="G71" s="19"/>
      <c r="H71" s="19"/>
      <c r="I71" s="19" t="s">
        <v>186</v>
      </c>
      <c r="J71" s="19" t="s">
        <v>181</v>
      </c>
      <c r="K71" s="19" t="s">
        <v>180</v>
      </c>
      <c r="L71" s="19"/>
      <c r="M71" s="19"/>
      <c r="N71" s="19"/>
      <c r="O71" s="19"/>
      <c r="P71" s="19"/>
      <c r="Q71" s="18"/>
      <c r="R71" s="18"/>
    </row>
    <row r="72" spans="1:18" x14ac:dyDescent="0.35">
      <c r="A72" s="17">
        <v>1</v>
      </c>
      <c r="B72" s="17" t="s">
        <v>185</v>
      </c>
      <c r="C72" s="17" t="s">
        <v>183</v>
      </c>
      <c r="D72" s="16">
        <v>0.26</v>
      </c>
      <c r="E72" s="15">
        <v>31.6</v>
      </c>
      <c r="F72" s="14">
        <f>10950*D72*E72</f>
        <v>89965.2</v>
      </c>
      <c r="G72" s="19"/>
      <c r="H72" s="19"/>
      <c r="I72" s="19" t="s">
        <v>186</v>
      </c>
      <c r="J72" s="19" t="s">
        <v>184</v>
      </c>
      <c r="K72" s="19" t="s">
        <v>180</v>
      </c>
      <c r="L72" s="19"/>
      <c r="M72" s="19"/>
      <c r="N72" s="19"/>
      <c r="O72" s="19"/>
      <c r="P72" s="19"/>
      <c r="Q72" s="18"/>
      <c r="R72" s="18"/>
    </row>
    <row r="73" spans="1:18" x14ac:dyDescent="0.35">
      <c r="A73" s="17">
        <v>2</v>
      </c>
      <c r="B73" s="17" t="s">
        <v>185</v>
      </c>
      <c r="C73" s="17" t="s">
        <v>178</v>
      </c>
      <c r="D73" s="16">
        <v>0.26</v>
      </c>
      <c r="E73" s="15">
        <v>17.7</v>
      </c>
      <c r="F73" s="14">
        <f>10950*D73*E73</f>
        <v>50391.9</v>
      </c>
      <c r="G73" s="19"/>
      <c r="H73" s="18"/>
      <c r="I73" s="19" t="s">
        <v>182</v>
      </c>
      <c r="J73" s="19" t="s">
        <v>184</v>
      </c>
      <c r="K73" s="19" t="s">
        <v>180</v>
      </c>
      <c r="L73" s="19"/>
      <c r="M73" s="19"/>
      <c r="N73" s="19"/>
      <c r="O73" s="19"/>
      <c r="P73" s="19"/>
      <c r="Q73" s="18"/>
      <c r="R73" s="18"/>
    </row>
    <row r="74" spans="1:18" x14ac:dyDescent="0.35">
      <c r="A74" s="17">
        <v>3</v>
      </c>
      <c r="B74" s="17" t="s">
        <v>179</v>
      </c>
      <c r="C74" s="17" t="s">
        <v>183</v>
      </c>
      <c r="D74" s="16">
        <v>0.13</v>
      </c>
      <c r="E74" s="15">
        <v>31.6</v>
      </c>
      <c r="F74" s="14">
        <f>10950*D74*E74</f>
        <v>44982.6</v>
      </c>
      <c r="G74" s="19"/>
      <c r="H74" s="19"/>
      <c r="I74" s="19" t="s">
        <v>182</v>
      </c>
      <c r="J74" s="19" t="s">
        <v>181</v>
      </c>
      <c r="K74" s="19" t="s">
        <v>180</v>
      </c>
      <c r="L74" s="19"/>
      <c r="M74" s="19"/>
      <c r="N74" s="19"/>
      <c r="O74" s="19"/>
      <c r="P74" s="19"/>
      <c r="Q74" s="18"/>
      <c r="R74" s="18"/>
    </row>
    <row r="75" spans="1:18" x14ac:dyDescent="0.35">
      <c r="A75" s="17">
        <v>4</v>
      </c>
      <c r="B75" s="17" t="s">
        <v>179</v>
      </c>
      <c r="C75" s="17" t="s">
        <v>178</v>
      </c>
      <c r="D75" s="16">
        <v>0.13</v>
      </c>
      <c r="E75" s="15">
        <v>17.7</v>
      </c>
      <c r="F75" s="14">
        <f>10950*D75*E75</f>
        <v>25195.95</v>
      </c>
    </row>
    <row r="82" spans="6:7" x14ac:dyDescent="0.35">
      <c r="F82" s="13"/>
      <c r="G82" s="1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69CD-EC7E-49BA-A5F5-A18647B13142}">
  <dimension ref="A1:P145"/>
  <sheetViews>
    <sheetView workbookViewId="0"/>
  </sheetViews>
  <sheetFormatPr defaultColWidth="15.6328125" defaultRowHeight="14.5" x14ac:dyDescent="0.35"/>
  <cols>
    <col min="1" max="16384" width="15.6328125" style="2"/>
  </cols>
  <sheetData>
    <row r="1" spans="1:16" x14ac:dyDescent="0.35">
      <c r="A1" s="2" t="s">
        <v>1</v>
      </c>
      <c r="B1" s="1" t="s">
        <v>177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5">
      <c r="A2" s="2" t="s">
        <v>2</v>
      </c>
      <c r="B2" s="2" t="e">
        <f>Tree!#REF!</f>
        <v>#REF!</v>
      </c>
      <c r="E2" s="2" t="s">
        <v>11</v>
      </c>
      <c r="F2" s="2">
        <f>_xll.PTreeEvaluate5(B3,$L$11:$L$145,$J$11:$J$145,$K$11:$K$145,$N$11:$N$145,$G$11:$G$145,,L1)</f>
        <v>77185</v>
      </c>
    </row>
    <row r="3" spans="1:16" x14ac:dyDescent="0.35">
      <c r="A3" s="2" t="s">
        <v>3</v>
      </c>
      <c r="B3" s="2" t="s">
        <v>176</v>
      </c>
      <c r="E3" s="2" t="s">
        <v>12</v>
      </c>
      <c r="F3" s="1" t="s">
        <v>38</v>
      </c>
      <c r="H3" s="2" t="s">
        <v>17</v>
      </c>
      <c r="I3" s="2" t="s">
        <v>40</v>
      </c>
    </row>
    <row r="4" spans="1:16" x14ac:dyDescent="0.3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2" t="s">
        <v>40</v>
      </c>
    </row>
    <row r="6" spans="1:16" x14ac:dyDescent="0.3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35">
      <c r="A7" s="2" t="s">
        <v>7</v>
      </c>
      <c r="E7" s="2" t="s">
        <v>10</v>
      </c>
      <c r="F7" s="1" t="s">
        <v>0</v>
      </c>
    </row>
    <row r="8" spans="1:16" x14ac:dyDescent="0.35">
      <c r="A8" s="2" t="s">
        <v>8</v>
      </c>
      <c r="B8" s="2">
        <v>135</v>
      </c>
    </row>
    <row r="10" spans="1:16" x14ac:dyDescent="0.3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5">
      <c r="A11" s="2">
        <f>Tree!$C$264</f>
        <v>17371.007850000002</v>
      </c>
      <c r="B11" s="2" t="str">
        <f>B1</f>
        <v>Solar or Not</v>
      </c>
      <c r="C11" s="2">
        <v>0</v>
      </c>
      <c r="I11" s="2" t="s">
        <v>43</v>
      </c>
      <c r="J11" s="2">
        <f>Tree!$B$264</f>
        <v>0</v>
      </c>
      <c r="K11" s="2">
        <f>Tree!$B$263</f>
        <v>0</v>
      </c>
      <c r="L11" s="2" t="s">
        <v>53</v>
      </c>
      <c r="M11" s="1" t="s">
        <v>44</v>
      </c>
      <c r="O11" s="2" t="str">
        <f>Tree!$C$263</f>
        <v>Decision (30 yr period)</v>
      </c>
      <c r="P11" s="2" t="b">
        <v>0</v>
      </c>
    </row>
    <row r="12" spans="1:16" x14ac:dyDescent="0.35">
      <c r="A12" s="2">
        <f>Tree!$D$136</f>
        <v>17371.007850000002</v>
      </c>
      <c r="B12" s="1" t="s">
        <v>54</v>
      </c>
      <c r="C12" s="2">
        <v>0</v>
      </c>
      <c r="I12" s="2" t="s">
        <v>43</v>
      </c>
      <c r="J12" s="2">
        <f>Tree!$C$136</f>
        <v>0</v>
      </c>
      <c r="L12" s="2" t="s">
        <v>55</v>
      </c>
      <c r="M12" s="1" t="s">
        <v>44</v>
      </c>
      <c r="O12" s="2" t="str">
        <f>Tree!$D$135</f>
        <v>Payment Decision</v>
      </c>
      <c r="P12" s="2" t="b">
        <v>0</v>
      </c>
    </row>
    <row r="13" spans="1:16" x14ac:dyDescent="0.35">
      <c r="A13" s="2">
        <f>Tree!$E$72</f>
        <v>43426.007849999995</v>
      </c>
      <c r="B13" s="1" t="s">
        <v>56</v>
      </c>
      <c r="C13" s="2">
        <v>0</v>
      </c>
      <c r="I13" s="2" t="s">
        <v>43</v>
      </c>
      <c r="J13" s="2">
        <f>Tree!$D$72</f>
        <v>40517</v>
      </c>
      <c r="L13" s="2" t="s">
        <v>57</v>
      </c>
      <c r="M13" s="1" t="s">
        <v>44</v>
      </c>
      <c r="O13" s="2" t="str">
        <f>Tree!$E$71</f>
        <v>Weather and Energy Prodn(kWh)</v>
      </c>
      <c r="P13" s="2" t="b">
        <v>0</v>
      </c>
    </row>
    <row r="14" spans="1:16" x14ac:dyDescent="0.35">
      <c r="A14" s="2">
        <f>Tree!$F$40</f>
        <v>37413.362849999998</v>
      </c>
      <c r="B14" s="1" t="s">
        <v>58</v>
      </c>
      <c r="C14" s="2">
        <v>0</v>
      </c>
      <c r="I14" s="2" t="s">
        <v>43</v>
      </c>
      <c r="J14" s="2">
        <f>Tree!$E$40</f>
        <v>0</v>
      </c>
      <c r="K14" s="2">
        <f>Tree!$E$39</f>
        <v>0.57499999999999996</v>
      </c>
      <c r="L14" s="2" t="s">
        <v>59</v>
      </c>
      <c r="M14" s="1" t="s">
        <v>44</v>
      </c>
      <c r="O14" s="2" t="str">
        <f>Tree!$F$39</f>
        <v>Household Consumption (kWh)</v>
      </c>
      <c r="P14" s="2" t="b">
        <v>0</v>
      </c>
    </row>
    <row r="15" spans="1:16" x14ac:dyDescent="0.35">
      <c r="A15" s="2">
        <f>Tree!$G$24</f>
        <v>50629.322999999997</v>
      </c>
      <c r="B15" s="1" t="s">
        <v>60</v>
      </c>
      <c r="C15" s="2">
        <v>0</v>
      </c>
      <c r="I15" s="2" t="s">
        <v>43</v>
      </c>
      <c r="J15" s="2">
        <f>Tree!$F$24</f>
        <v>0</v>
      </c>
      <c r="K15" s="2">
        <f>Tree!$F$23</f>
        <v>0.54300000000000004</v>
      </c>
      <c r="L15" s="2" t="s">
        <v>61</v>
      </c>
      <c r="M15" s="1" t="s">
        <v>44</v>
      </c>
      <c r="O15" s="2" t="str">
        <f>Tree!$G$23</f>
        <v>VPP Contribution</v>
      </c>
      <c r="P15" s="2" t="b">
        <v>0</v>
      </c>
    </row>
    <row r="16" spans="1:16" x14ac:dyDescent="0.35">
      <c r="A16" s="2">
        <f>Tree!$H$16</f>
        <v>50629.322999999997</v>
      </c>
      <c r="B16" s="1" t="s">
        <v>62</v>
      </c>
      <c r="C16" s="2">
        <v>0</v>
      </c>
      <c r="I16" s="2" t="s">
        <v>43</v>
      </c>
      <c r="J16" s="2">
        <f>Tree!$G$16</f>
        <v>4473.0750000000044</v>
      </c>
      <c r="K16" s="2">
        <f>Tree!$G$15</f>
        <v>1</v>
      </c>
      <c r="L16" s="2" t="s">
        <v>63</v>
      </c>
      <c r="M16" s="1" t="s">
        <v>44</v>
      </c>
      <c r="O16" s="2" t="str">
        <f>Tree!$H$15</f>
        <v>Degradation Cost</v>
      </c>
      <c r="P16" s="2" t="b">
        <v>0</v>
      </c>
    </row>
    <row r="17" spans="1:16" x14ac:dyDescent="0.35">
      <c r="A17" s="2">
        <f>Tree!$I$12</f>
        <v>50099.094999999994</v>
      </c>
      <c r="B17" s="1" t="s">
        <v>64</v>
      </c>
      <c r="C17" s="2">
        <v>0</v>
      </c>
      <c r="I17" s="2" t="s">
        <v>43</v>
      </c>
      <c r="J17" s="2">
        <f>Tree!$H$12</f>
        <v>1284.02</v>
      </c>
      <c r="K17" s="2">
        <f>Tree!$H$11</f>
        <v>0.8</v>
      </c>
      <c r="L17" s="2" t="s">
        <v>65</v>
      </c>
      <c r="M17" s="1" t="s">
        <v>44</v>
      </c>
      <c r="O17" s="2" t="str">
        <f>Tree!$I$11</f>
        <v>Maintenance Cost</v>
      </c>
      <c r="P17" s="2" t="b">
        <v>0</v>
      </c>
    </row>
    <row r="18" spans="1:16" x14ac:dyDescent="0.35">
      <c r="A18" s="2">
        <f>Tree!$J$10</f>
        <v>53774.095000000001</v>
      </c>
      <c r="B18" s="1" t="s">
        <v>66</v>
      </c>
      <c r="C18" s="2">
        <v>0</v>
      </c>
      <c r="H18" s="2" t="s">
        <v>43</v>
      </c>
      <c r="I18" s="2" t="s">
        <v>43</v>
      </c>
      <c r="J18" s="2">
        <f>Tree!$I$10</f>
        <v>7500</v>
      </c>
      <c r="K18" s="2">
        <f>Tree!$I$9</f>
        <v>0.3</v>
      </c>
      <c r="L18" s="2" t="s">
        <v>67</v>
      </c>
      <c r="M18" s="1" t="s">
        <v>44</v>
      </c>
      <c r="P18" s="2" t="b">
        <v>0</v>
      </c>
    </row>
    <row r="19" spans="1:16" x14ac:dyDescent="0.35">
      <c r="A19" s="2">
        <f>Tree!$J$14</f>
        <v>48524.095000000001</v>
      </c>
      <c r="B19" s="1" t="s">
        <v>68</v>
      </c>
      <c r="C19" s="2">
        <v>0</v>
      </c>
      <c r="H19" s="2" t="s">
        <v>43</v>
      </c>
      <c r="I19" s="2" t="s">
        <v>43</v>
      </c>
      <c r="J19" s="2">
        <f>Tree!$I$14</f>
        <v>2250</v>
      </c>
      <c r="K19" s="2">
        <f>Tree!$I$13</f>
        <v>0.7</v>
      </c>
      <c r="L19" s="2" t="s">
        <v>67</v>
      </c>
      <c r="M19" s="1" t="s">
        <v>44</v>
      </c>
      <c r="P19" s="2" t="b">
        <v>0</v>
      </c>
    </row>
    <row r="20" spans="1:16" x14ac:dyDescent="0.35">
      <c r="A20" s="2">
        <f>Tree!$I$20</f>
        <v>52750.235000000001</v>
      </c>
      <c r="B20" s="1" t="s">
        <v>69</v>
      </c>
      <c r="C20" s="2">
        <v>0</v>
      </c>
      <c r="I20" s="2" t="s">
        <v>43</v>
      </c>
      <c r="J20" s="2">
        <f>Tree!$H$20</f>
        <v>3935.16</v>
      </c>
      <c r="K20" s="2">
        <f>Tree!$H$19</f>
        <v>0.19999999999999996</v>
      </c>
      <c r="L20" s="2" t="s">
        <v>70</v>
      </c>
      <c r="M20" s="1" t="s">
        <v>44</v>
      </c>
      <c r="O20" s="2" t="str">
        <f>Tree!$I$19</f>
        <v>Maintenance Cost</v>
      </c>
      <c r="P20" s="2" t="b">
        <v>0</v>
      </c>
    </row>
    <row r="21" spans="1:16" x14ac:dyDescent="0.35">
      <c r="A21" s="2">
        <f>Tree!$J$18</f>
        <v>56425.235000000001</v>
      </c>
      <c r="B21" s="1" t="s">
        <v>66</v>
      </c>
      <c r="C21" s="2">
        <v>0</v>
      </c>
      <c r="H21" s="2" t="s">
        <v>43</v>
      </c>
      <c r="I21" s="2" t="s">
        <v>43</v>
      </c>
      <c r="J21" s="2">
        <f>Tree!$I$18</f>
        <v>7500</v>
      </c>
      <c r="K21" s="2">
        <f>Tree!$I$17</f>
        <v>0.3</v>
      </c>
      <c r="L21" s="2" t="s">
        <v>71</v>
      </c>
      <c r="M21" s="1" t="s">
        <v>44</v>
      </c>
      <c r="P21" s="2" t="b">
        <v>0</v>
      </c>
    </row>
    <row r="22" spans="1:16" x14ac:dyDescent="0.35">
      <c r="A22" s="2">
        <f>Tree!$J$22</f>
        <v>51175.235000000001</v>
      </c>
      <c r="B22" s="1" t="s">
        <v>68</v>
      </c>
      <c r="C22" s="2">
        <v>0</v>
      </c>
      <c r="H22" s="2" t="s">
        <v>43</v>
      </c>
      <c r="I22" s="2" t="s">
        <v>43</v>
      </c>
      <c r="J22" s="2">
        <f>Tree!$I$22</f>
        <v>2250</v>
      </c>
      <c r="K22" s="2">
        <f>Tree!$I$21</f>
        <v>0.7</v>
      </c>
      <c r="L22" s="2" t="s">
        <v>71</v>
      </c>
      <c r="M22" s="1" t="s">
        <v>44</v>
      </c>
      <c r="P22" s="2" t="b">
        <v>0</v>
      </c>
    </row>
    <row r="23" spans="1:16" x14ac:dyDescent="0.35">
      <c r="A23" s="2">
        <f>Tree!$H$32</f>
        <v>46156.248</v>
      </c>
      <c r="B23" s="1" t="s">
        <v>72</v>
      </c>
      <c r="C23" s="2">
        <v>0</v>
      </c>
      <c r="I23" s="2" t="s">
        <v>43</v>
      </c>
      <c r="J23" s="2">
        <f>Tree!$G$32</f>
        <v>0</v>
      </c>
      <c r="K23" s="2">
        <f>Tree!$G$31</f>
        <v>0</v>
      </c>
      <c r="L23" s="2" t="s">
        <v>73</v>
      </c>
      <c r="M23" s="1" t="s">
        <v>44</v>
      </c>
      <c r="O23" s="2" t="str">
        <f>Tree!$H$31</f>
        <v>Degradation Cost</v>
      </c>
      <c r="P23" s="2" t="b">
        <v>0</v>
      </c>
    </row>
    <row r="24" spans="1:16" x14ac:dyDescent="0.35">
      <c r="A24" s="2">
        <f>Tree!$I$28</f>
        <v>45626.02</v>
      </c>
      <c r="B24" s="1" t="s">
        <v>64</v>
      </c>
      <c r="C24" s="2">
        <v>0</v>
      </c>
      <c r="I24" s="2" t="s">
        <v>43</v>
      </c>
      <c r="J24" s="2">
        <f>Tree!$H$28</f>
        <v>1284.02</v>
      </c>
      <c r="K24" s="2">
        <f>Tree!$H$27</f>
        <v>0.8</v>
      </c>
      <c r="L24" s="2" t="s">
        <v>74</v>
      </c>
      <c r="M24" s="1" t="s">
        <v>44</v>
      </c>
      <c r="O24" s="2" t="str">
        <f>Tree!$I$27</f>
        <v>Maintenance Cost</v>
      </c>
      <c r="P24" s="2" t="b">
        <v>0</v>
      </c>
    </row>
    <row r="25" spans="1:16" x14ac:dyDescent="0.35">
      <c r="A25" s="2">
        <f>Tree!$J$26</f>
        <v>49301.02</v>
      </c>
      <c r="B25" s="1" t="s">
        <v>66</v>
      </c>
      <c r="C25" s="2">
        <v>0</v>
      </c>
      <c r="H25" s="2" t="s">
        <v>43</v>
      </c>
      <c r="I25" s="2" t="s">
        <v>43</v>
      </c>
      <c r="J25" s="2">
        <f>Tree!$I$26</f>
        <v>7500</v>
      </c>
      <c r="K25" s="2">
        <f>Tree!$I$25</f>
        <v>0.3</v>
      </c>
      <c r="L25" s="2" t="s">
        <v>75</v>
      </c>
      <c r="M25" s="1" t="s">
        <v>44</v>
      </c>
      <c r="P25" s="2" t="b">
        <v>0</v>
      </c>
    </row>
    <row r="26" spans="1:16" x14ac:dyDescent="0.35">
      <c r="A26" s="2">
        <f>Tree!$J$30</f>
        <v>44051.02</v>
      </c>
      <c r="B26" s="1" t="s">
        <v>76</v>
      </c>
      <c r="C26" s="2">
        <v>0</v>
      </c>
      <c r="H26" s="2" t="s">
        <v>43</v>
      </c>
      <c r="I26" s="2" t="s">
        <v>43</v>
      </c>
      <c r="J26" s="2">
        <f>Tree!$I$30</f>
        <v>2250</v>
      </c>
      <c r="K26" s="2">
        <f>Tree!$I$29</f>
        <v>0.7</v>
      </c>
      <c r="L26" s="2" t="s">
        <v>75</v>
      </c>
      <c r="M26" s="1" t="s">
        <v>44</v>
      </c>
      <c r="P26" s="2" t="b">
        <v>0</v>
      </c>
    </row>
    <row r="27" spans="1:16" x14ac:dyDescent="0.35">
      <c r="A27" s="2">
        <f>Tree!$I$36</f>
        <v>48277.16</v>
      </c>
      <c r="B27" s="1" t="s">
        <v>69</v>
      </c>
      <c r="C27" s="2">
        <v>0</v>
      </c>
      <c r="I27" s="2" t="s">
        <v>43</v>
      </c>
      <c r="J27" s="2">
        <f>Tree!$H$36</f>
        <v>3935.16</v>
      </c>
      <c r="K27" s="2">
        <f>Tree!$H$35</f>
        <v>0.19999999999999996</v>
      </c>
      <c r="L27" s="2" t="s">
        <v>77</v>
      </c>
      <c r="M27" s="1" t="s">
        <v>44</v>
      </c>
      <c r="O27" s="2" t="str">
        <f>Tree!$I$35</f>
        <v>Maintenance Cost</v>
      </c>
      <c r="P27" s="2" t="b">
        <v>0</v>
      </c>
    </row>
    <row r="28" spans="1:16" x14ac:dyDescent="0.35">
      <c r="A28" s="2">
        <f>Tree!$J$34</f>
        <v>51952.160000000003</v>
      </c>
      <c r="B28" s="1" t="s">
        <v>66</v>
      </c>
      <c r="C28" s="2">
        <v>0</v>
      </c>
      <c r="H28" s="2" t="s">
        <v>43</v>
      </c>
      <c r="I28" s="2" t="s">
        <v>43</v>
      </c>
      <c r="J28" s="2">
        <f>Tree!$I$34</f>
        <v>7500</v>
      </c>
      <c r="K28" s="2">
        <f>Tree!$I$33</f>
        <v>0.3</v>
      </c>
      <c r="L28" s="2" t="s">
        <v>78</v>
      </c>
      <c r="M28" s="1" t="s">
        <v>44</v>
      </c>
      <c r="P28" s="2" t="b">
        <v>0</v>
      </c>
    </row>
    <row r="29" spans="1:16" x14ac:dyDescent="0.35">
      <c r="A29" s="2">
        <f>Tree!$J$38</f>
        <v>46702.16</v>
      </c>
      <c r="B29" s="1" t="s">
        <v>76</v>
      </c>
      <c r="C29" s="2">
        <v>0</v>
      </c>
      <c r="H29" s="2" t="s">
        <v>43</v>
      </c>
      <c r="I29" s="2" t="s">
        <v>43</v>
      </c>
      <c r="J29" s="2">
        <f>Tree!$I$38</f>
        <v>2250</v>
      </c>
      <c r="K29" s="2">
        <f>Tree!$I$37</f>
        <v>0.7</v>
      </c>
      <c r="L29" s="2" t="s">
        <v>78</v>
      </c>
      <c r="M29" s="1" t="s">
        <v>44</v>
      </c>
      <c r="P29" s="2" t="b">
        <v>0</v>
      </c>
    </row>
    <row r="30" spans="1:16" x14ac:dyDescent="0.35">
      <c r="A30" s="2">
        <f>Tree!$G$56</f>
        <v>21710.372999999996</v>
      </c>
      <c r="B30" s="1" t="s">
        <v>79</v>
      </c>
      <c r="C30" s="2">
        <v>0</v>
      </c>
      <c r="I30" s="2" t="s">
        <v>43</v>
      </c>
      <c r="J30" s="2">
        <f>Tree!$F$56</f>
        <v>0</v>
      </c>
      <c r="K30" s="2">
        <f>Tree!$F$55</f>
        <v>0.45699999999999996</v>
      </c>
      <c r="L30" s="2" t="s">
        <v>80</v>
      </c>
      <c r="M30" s="1" t="s">
        <v>44</v>
      </c>
      <c r="O30" s="2" t="str">
        <f>Tree!$G$55</f>
        <v>VPP Contribution</v>
      </c>
      <c r="P30" s="2" t="b">
        <v>0</v>
      </c>
    </row>
    <row r="31" spans="1:16" x14ac:dyDescent="0.35">
      <c r="A31" s="2">
        <f>Tree!$H$48</f>
        <v>46156.248</v>
      </c>
      <c r="B31" s="1" t="s">
        <v>81</v>
      </c>
      <c r="C31" s="2">
        <v>0</v>
      </c>
      <c r="I31" s="2" t="s">
        <v>43</v>
      </c>
      <c r="J31" s="2">
        <f>Tree!$G$48</f>
        <v>0</v>
      </c>
      <c r="K31" s="2">
        <f>Tree!$G$47</f>
        <v>0</v>
      </c>
      <c r="L31" s="2" t="s">
        <v>82</v>
      </c>
      <c r="M31" s="1" t="s">
        <v>44</v>
      </c>
      <c r="O31" s="2" t="str">
        <f>Tree!$H$47</f>
        <v>Degradation Cost</v>
      </c>
      <c r="P31" s="2" t="b">
        <v>0</v>
      </c>
    </row>
    <row r="32" spans="1:16" x14ac:dyDescent="0.35">
      <c r="A32" s="2">
        <f>Tree!$I$44</f>
        <v>45626.02</v>
      </c>
      <c r="B32" s="1" t="s">
        <v>64</v>
      </c>
      <c r="C32" s="2">
        <v>0</v>
      </c>
      <c r="I32" s="2" t="s">
        <v>43</v>
      </c>
      <c r="J32" s="2">
        <f>Tree!$H$44</f>
        <v>1284.02</v>
      </c>
      <c r="K32" s="2">
        <f>Tree!$H$43</f>
        <v>0.8</v>
      </c>
      <c r="L32" s="2" t="s">
        <v>83</v>
      </c>
      <c r="M32" s="1" t="s">
        <v>44</v>
      </c>
      <c r="O32" s="2" t="str">
        <f>Tree!$I$43</f>
        <v>Maintenance Cost</v>
      </c>
      <c r="P32" s="2" t="b">
        <v>0</v>
      </c>
    </row>
    <row r="33" spans="1:16" x14ac:dyDescent="0.35">
      <c r="A33" s="2">
        <f>Tree!$J$42</f>
        <v>49301.02</v>
      </c>
      <c r="B33" s="1" t="s">
        <v>66</v>
      </c>
      <c r="C33" s="2">
        <v>0</v>
      </c>
      <c r="H33" s="2" t="s">
        <v>43</v>
      </c>
      <c r="I33" s="2" t="s">
        <v>43</v>
      </c>
      <c r="J33" s="2">
        <f>Tree!$I$42</f>
        <v>7500</v>
      </c>
      <c r="K33" s="2">
        <f>Tree!$I$41</f>
        <v>0.3</v>
      </c>
      <c r="L33" s="2" t="s">
        <v>84</v>
      </c>
      <c r="M33" s="1" t="s">
        <v>44</v>
      </c>
      <c r="P33" s="2" t="b">
        <v>0</v>
      </c>
    </row>
    <row r="34" spans="1:16" x14ac:dyDescent="0.35">
      <c r="A34" s="2">
        <f>Tree!$J$46</f>
        <v>44051.02</v>
      </c>
      <c r="B34" s="1" t="s">
        <v>76</v>
      </c>
      <c r="C34" s="2">
        <v>0</v>
      </c>
      <c r="H34" s="2" t="s">
        <v>43</v>
      </c>
      <c r="I34" s="2" t="s">
        <v>43</v>
      </c>
      <c r="J34" s="2">
        <f>Tree!$I$46</f>
        <v>2250</v>
      </c>
      <c r="K34" s="2">
        <f>Tree!$I$45</f>
        <v>0.7</v>
      </c>
      <c r="L34" s="2" t="s">
        <v>84</v>
      </c>
      <c r="M34" s="1" t="s">
        <v>44</v>
      </c>
      <c r="P34" s="2" t="b">
        <v>0</v>
      </c>
    </row>
    <row r="35" spans="1:16" x14ac:dyDescent="0.35">
      <c r="A35" s="2">
        <f>Tree!$I$52</f>
        <v>48277.16</v>
      </c>
      <c r="B35" s="1" t="s">
        <v>69</v>
      </c>
      <c r="C35" s="2">
        <v>0</v>
      </c>
      <c r="I35" s="2" t="s">
        <v>43</v>
      </c>
      <c r="J35" s="2">
        <f>Tree!$H$52</f>
        <v>3935.16</v>
      </c>
      <c r="K35" s="2">
        <f>Tree!$H$51</f>
        <v>0.19999999999999996</v>
      </c>
      <c r="L35" s="2" t="s">
        <v>85</v>
      </c>
      <c r="M35" s="1" t="s">
        <v>44</v>
      </c>
      <c r="O35" s="2" t="str">
        <f>Tree!$I$51</f>
        <v>Maintenance Cost</v>
      </c>
      <c r="P35" s="2" t="b">
        <v>0</v>
      </c>
    </row>
    <row r="36" spans="1:16" x14ac:dyDescent="0.35">
      <c r="A36" s="2">
        <f>Tree!$J$50</f>
        <v>51952.160000000003</v>
      </c>
      <c r="B36" s="1" t="s">
        <v>66</v>
      </c>
      <c r="C36" s="2">
        <v>0</v>
      </c>
      <c r="H36" s="2" t="s">
        <v>43</v>
      </c>
      <c r="I36" s="2" t="s">
        <v>43</v>
      </c>
      <c r="J36" s="2">
        <f>Tree!$I$50</f>
        <v>7500</v>
      </c>
      <c r="K36" s="2">
        <f>Tree!$I$49</f>
        <v>0.3</v>
      </c>
      <c r="L36" s="2" t="s">
        <v>86</v>
      </c>
      <c r="M36" s="1" t="s">
        <v>44</v>
      </c>
      <c r="P36" s="2" t="b">
        <v>0</v>
      </c>
    </row>
    <row r="37" spans="1:16" x14ac:dyDescent="0.35">
      <c r="A37" s="2">
        <f>Tree!$J$54</f>
        <v>46702.16</v>
      </c>
      <c r="B37" s="1" t="s">
        <v>76</v>
      </c>
      <c r="C37" s="2">
        <v>0</v>
      </c>
      <c r="H37" s="2" t="s">
        <v>43</v>
      </c>
      <c r="I37" s="2" t="s">
        <v>43</v>
      </c>
      <c r="J37" s="2">
        <f>Tree!$I$54</f>
        <v>2250</v>
      </c>
      <c r="K37" s="2">
        <f>Tree!$I$53</f>
        <v>0.7</v>
      </c>
      <c r="L37" s="2" t="s">
        <v>86</v>
      </c>
      <c r="M37" s="1" t="s">
        <v>44</v>
      </c>
      <c r="P37" s="2" t="b">
        <v>0</v>
      </c>
    </row>
    <row r="38" spans="1:16" x14ac:dyDescent="0.35">
      <c r="A38" s="2">
        <f>Tree!$H$64</f>
        <v>21710.372999999996</v>
      </c>
      <c r="B38" s="1" t="s">
        <v>87</v>
      </c>
      <c r="C38" s="2">
        <v>0</v>
      </c>
      <c r="I38" s="2" t="s">
        <v>43</v>
      </c>
      <c r="J38" s="2">
        <f>Tree!$G$64</f>
        <v>-24445.875</v>
      </c>
      <c r="K38" s="2">
        <f>Tree!$G$63</f>
        <v>1</v>
      </c>
      <c r="L38" s="2" t="s">
        <v>88</v>
      </c>
      <c r="M38" s="1" t="s">
        <v>44</v>
      </c>
      <c r="O38" s="2" t="str">
        <f>Tree!$H$63</f>
        <v>Degradation Cost</v>
      </c>
      <c r="P38" s="2" t="b">
        <v>0</v>
      </c>
    </row>
    <row r="39" spans="1:16" x14ac:dyDescent="0.35">
      <c r="A39" s="2">
        <f>Tree!$I$60</f>
        <v>21180.144999999997</v>
      </c>
      <c r="B39" s="1" t="s">
        <v>64</v>
      </c>
      <c r="C39" s="2">
        <v>0</v>
      </c>
      <c r="I39" s="2" t="s">
        <v>43</v>
      </c>
      <c r="J39" s="2">
        <f>Tree!$H$60</f>
        <v>1284.02</v>
      </c>
      <c r="K39" s="2">
        <f>Tree!$H$59</f>
        <v>0.8</v>
      </c>
      <c r="L39" s="2" t="s">
        <v>89</v>
      </c>
      <c r="M39" s="1" t="s">
        <v>44</v>
      </c>
      <c r="O39" s="2" t="str">
        <f>Tree!$I$59</f>
        <v>Maintenance Cost</v>
      </c>
      <c r="P39" s="2" t="b">
        <v>0</v>
      </c>
    </row>
    <row r="40" spans="1:16" x14ac:dyDescent="0.35">
      <c r="A40" s="2">
        <f>Tree!$J$58</f>
        <v>24855.145</v>
      </c>
      <c r="B40" s="1" t="s">
        <v>66</v>
      </c>
      <c r="C40" s="2">
        <v>0</v>
      </c>
      <c r="H40" s="2" t="s">
        <v>43</v>
      </c>
      <c r="I40" s="2" t="s">
        <v>43</v>
      </c>
      <c r="J40" s="2">
        <f>Tree!$I$58</f>
        <v>7500</v>
      </c>
      <c r="K40" s="2">
        <f>Tree!$I$57</f>
        <v>0.3</v>
      </c>
      <c r="L40" s="2" t="s">
        <v>90</v>
      </c>
      <c r="M40" s="1" t="s">
        <v>44</v>
      </c>
      <c r="P40" s="2" t="b">
        <v>0</v>
      </c>
    </row>
    <row r="41" spans="1:16" x14ac:dyDescent="0.35">
      <c r="A41" s="2">
        <f>Tree!$J$62</f>
        <v>19605.145</v>
      </c>
      <c r="B41" s="1" t="s">
        <v>76</v>
      </c>
      <c r="C41" s="2">
        <v>0</v>
      </c>
      <c r="H41" s="2" t="s">
        <v>43</v>
      </c>
      <c r="I41" s="2" t="s">
        <v>43</v>
      </c>
      <c r="J41" s="2">
        <f>Tree!$I$62</f>
        <v>2250</v>
      </c>
      <c r="K41" s="2">
        <f>Tree!$I$61</f>
        <v>0.7</v>
      </c>
      <c r="L41" s="2" t="s">
        <v>90</v>
      </c>
      <c r="M41" s="1" t="s">
        <v>44</v>
      </c>
      <c r="P41" s="2" t="b">
        <v>0</v>
      </c>
    </row>
    <row r="42" spans="1:16" x14ac:dyDescent="0.35">
      <c r="A42" s="2">
        <f>Tree!$I$68</f>
        <v>23831.285</v>
      </c>
      <c r="B42" s="1" t="s">
        <v>69</v>
      </c>
      <c r="C42" s="2">
        <v>0</v>
      </c>
      <c r="I42" s="2" t="s">
        <v>43</v>
      </c>
      <c r="J42" s="2">
        <f>Tree!$H$68</f>
        <v>3935.16</v>
      </c>
      <c r="K42" s="2">
        <f>Tree!$H$67</f>
        <v>0.19999999999999996</v>
      </c>
      <c r="L42" s="2" t="s">
        <v>91</v>
      </c>
      <c r="M42" s="1" t="s">
        <v>44</v>
      </c>
      <c r="O42" s="2" t="str">
        <f>Tree!$I$67</f>
        <v>Maintenance Cost</v>
      </c>
      <c r="P42" s="2" t="b">
        <v>0</v>
      </c>
    </row>
    <row r="43" spans="1:16" x14ac:dyDescent="0.35">
      <c r="A43" s="2">
        <f>Tree!$J$66</f>
        <v>27506.285</v>
      </c>
      <c r="B43" s="1" t="s">
        <v>66</v>
      </c>
      <c r="C43" s="2">
        <v>0</v>
      </c>
      <c r="H43" s="2" t="s">
        <v>43</v>
      </c>
      <c r="I43" s="2" t="s">
        <v>43</v>
      </c>
      <c r="J43" s="2">
        <f>Tree!$I$66</f>
        <v>7500</v>
      </c>
      <c r="K43" s="2">
        <f>Tree!$I$65</f>
        <v>0.3</v>
      </c>
      <c r="L43" s="2" t="s">
        <v>92</v>
      </c>
      <c r="M43" s="1" t="s">
        <v>44</v>
      </c>
      <c r="P43" s="2" t="b">
        <v>0</v>
      </c>
    </row>
    <row r="44" spans="1:16" x14ac:dyDescent="0.35">
      <c r="A44" s="2">
        <f>Tree!$J$70</f>
        <v>22256.285</v>
      </c>
      <c r="B44" s="1" t="s">
        <v>76</v>
      </c>
      <c r="C44" s="2">
        <v>0</v>
      </c>
      <c r="H44" s="2" t="s">
        <v>43</v>
      </c>
      <c r="I44" s="2" t="s">
        <v>43</v>
      </c>
      <c r="J44" s="2">
        <f>Tree!$I$70</f>
        <v>2250</v>
      </c>
      <c r="K44" s="2">
        <f>Tree!$I$69</f>
        <v>0.7</v>
      </c>
      <c r="L44" s="2" t="s">
        <v>92</v>
      </c>
      <c r="M44" s="1" t="s">
        <v>44</v>
      </c>
      <c r="P44" s="2" t="b">
        <v>0</v>
      </c>
    </row>
    <row r="45" spans="1:16" x14ac:dyDescent="0.35">
      <c r="A45" s="2">
        <f>Tree!$F$104</f>
        <v>51560.762849999999</v>
      </c>
      <c r="B45" s="1" t="s">
        <v>93</v>
      </c>
      <c r="C45" s="2">
        <v>0</v>
      </c>
      <c r="I45" s="2" t="s">
        <v>43</v>
      </c>
      <c r="J45" s="2">
        <f>Tree!$E$104</f>
        <v>0</v>
      </c>
      <c r="K45" s="2">
        <f>Tree!$E$103</f>
        <v>0.42500000000000004</v>
      </c>
      <c r="L45" s="2" t="s">
        <v>94</v>
      </c>
      <c r="M45" s="1" t="s">
        <v>44</v>
      </c>
      <c r="O45" s="2" t="str">
        <f>Tree!$F$103</f>
        <v>Household Consumption (kWh)</v>
      </c>
      <c r="P45" s="2" t="b">
        <v>0</v>
      </c>
    </row>
    <row r="46" spans="1:16" x14ac:dyDescent="0.35">
      <c r="A46" s="2">
        <f>Tree!$G$88</f>
        <v>64776.722999999998</v>
      </c>
      <c r="B46" s="1" t="s">
        <v>95</v>
      </c>
      <c r="C46" s="2">
        <v>0</v>
      </c>
      <c r="I46" s="2" t="s">
        <v>43</v>
      </c>
      <c r="J46" s="2">
        <f>Tree!$F$88</f>
        <v>0</v>
      </c>
      <c r="K46" s="2">
        <f>Tree!$F$87</f>
        <v>0.54300000000000004</v>
      </c>
      <c r="L46" s="2" t="s">
        <v>96</v>
      </c>
      <c r="M46" s="1" t="s">
        <v>44</v>
      </c>
      <c r="O46" s="2" t="str">
        <f>Tree!$G$87</f>
        <v>VPP Contribution</v>
      </c>
      <c r="P46" s="2" t="b">
        <v>0</v>
      </c>
    </row>
    <row r="47" spans="1:16" x14ac:dyDescent="0.35">
      <c r="A47" s="2">
        <f>Tree!$H$80</f>
        <v>64776.722999999998</v>
      </c>
      <c r="B47" s="1" t="s">
        <v>81</v>
      </c>
      <c r="C47" s="2">
        <v>0</v>
      </c>
      <c r="I47" s="2" t="s">
        <v>43</v>
      </c>
      <c r="J47" s="2">
        <f>Tree!$G$80</f>
        <v>18620.475000000006</v>
      </c>
      <c r="K47" s="2">
        <f>Tree!$G$79</f>
        <v>1</v>
      </c>
      <c r="L47" s="2" t="s">
        <v>97</v>
      </c>
      <c r="M47" s="1" t="s">
        <v>44</v>
      </c>
      <c r="O47" s="2" t="str">
        <f>Tree!$H$79</f>
        <v>Degradation Cost</v>
      </c>
      <c r="P47" s="2" t="b">
        <v>0</v>
      </c>
    </row>
    <row r="48" spans="1:16" x14ac:dyDescent="0.35">
      <c r="A48" s="2">
        <f>Tree!$I$76</f>
        <v>64246.494999999995</v>
      </c>
      <c r="B48" s="1" t="s">
        <v>64</v>
      </c>
      <c r="C48" s="2">
        <v>0</v>
      </c>
      <c r="I48" s="2" t="s">
        <v>43</v>
      </c>
      <c r="J48" s="2">
        <f>Tree!$H$76</f>
        <v>1284.02</v>
      </c>
      <c r="K48" s="2">
        <f>Tree!$H$75</f>
        <v>0.8</v>
      </c>
      <c r="L48" s="2" t="s">
        <v>98</v>
      </c>
      <c r="M48" s="1" t="s">
        <v>44</v>
      </c>
      <c r="O48" s="2" t="str">
        <f>Tree!$I$75</f>
        <v>Maintenance Cost</v>
      </c>
      <c r="P48" s="2" t="b">
        <v>0</v>
      </c>
    </row>
    <row r="49" spans="1:16" x14ac:dyDescent="0.35">
      <c r="A49" s="2">
        <f>Tree!$J$74</f>
        <v>67921.494999999995</v>
      </c>
      <c r="B49" s="1" t="s">
        <v>66</v>
      </c>
      <c r="C49" s="2">
        <v>0</v>
      </c>
      <c r="H49" s="2" t="s">
        <v>43</v>
      </c>
      <c r="I49" s="2" t="s">
        <v>43</v>
      </c>
      <c r="J49" s="2">
        <f>Tree!$I$74</f>
        <v>7500</v>
      </c>
      <c r="K49" s="2">
        <f>Tree!$I$73</f>
        <v>0.3</v>
      </c>
      <c r="L49" s="2" t="s">
        <v>99</v>
      </c>
      <c r="M49" s="1" t="s">
        <v>44</v>
      </c>
      <c r="P49" s="2" t="b">
        <v>0</v>
      </c>
    </row>
    <row r="50" spans="1:16" x14ac:dyDescent="0.35">
      <c r="A50" s="2">
        <f>Tree!$J$78</f>
        <v>62671.495000000003</v>
      </c>
      <c r="B50" s="1" t="s">
        <v>76</v>
      </c>
      <c r="C50" s="2">
        <v>0</v>
      </c>
      <c r="H50" s="2" t="s">
        <v>43</v>
      </c>
      <c r="I50" s="2" t="s">
        <v>43</v>
      </c>
      <c r="J50" s="2">
        <f>Tree!$I$78</f>
        <v>2250</v>
      </c>
      <c r="K50" s="2">
        <f>Tree!$I$77</f>
        <v>0.7</v>
      </c>
      <c r="L50" s="2" t="s">
        <v>99</v>
      </c>
      <c r="M50" s="1" t="s">
        <v>44</v>
      </c>
      <c r="P50" s="2" t="b">
        <v>0</v>
      </c>
    </row>
    <row r="51" spans="1:16" x14ac:dyDescent="0.35">
      <c r="A51" s="2">
        <f>Tree!$I$84</f>
        <v>66897.635000000009</v>
      </c>
      <c r="B51" s="1" t="s">
        <v>69</v>
      </c>
      <c r="C51" s="2">
        <v>0</v>
      </c>
      <c r="I51" s="2" t="s">
        <v>43</v>
      </c>
      <c r="J51" s="2">
        <f>Tree!$H$84</f>
        <v>3935.16</v>
      </c>
      <c r="K51" s="2">
        <f>Tree!$H$83</f>
        <v>0.19999999999999996</v>
      </c>
      <c r="L51" s="2" t="s">
        <v>100</v>
      </c>
      <c r="M51" s="1" t="s">
        <v>44</v>
      </c>
      <c r="O51" s="2" t="str">
        <f>Tree!$I$83</f>
        <v>Maintenance Cost</v>
      </c>
      <c r="P51" s="2" t="b">
        <v>0</v>
      </c>
    </row>
    <row r="52" spans="1:16" x14ac:dyDescent="0.35">
      <c r="A52" s="2">
        <f>Tree!$J$82</f>
        <v>70572.635000000009</v>
      </c>
      <c r="B52" s="1" t="s">
        <v>66</v>
      </c>
      <c r="C52" s="2">
        <v>0</v>
      </c>
      <c r="H52" s="2" t="s">
        <v>43</v>
      </c>
      <c r="I52" s="2" t="s">
        <v>43</v>
      </c>
      <c r="J52" s="2">
        <f>Tree!$I$82</f>
        <v>7500</v>
      </c>
      <c r="K52" s="2">
        <f>Tree!$I$81</f>
        <v>0.3</v>
      </c>
      <c r="L52" s="2" t="s">
        <v>101</v>
      </c>
      <c r="M52" s="1" t="s">
        <v>44</v>
      </c>
      <c r="P52" s="2" t="b">
        <v>0</v>
      </c>
    </row>
    <row r="53" spans="1:16" x14ac:dyDescent="0.35">
      <c r="A53" s="2">
        <f>Tree!$J$86</f>
        <v>65322.635000000009</v>
      </c>
      <c r="B53" s="1" t="s">
        <v>76</v>
      </c>
      <c r="C53" s="2">
        <v>0</v>
      </c>
      <c r="H53" s="2" t="s">
        <v>43</v>
      </c>
      <c r="I53" s="2" t="s">
        <v>43</v>
      </c>
      <c r="J53" s="2">
        <f>Tree!$I$86</f>
        <v>2250</v>
      </c>
      <c r="K53" s="2">
        <f>Tree!$I$85</f>
        <v>0.7</v>
      </c>
      <c r="L53" s="2" t="s">
        <v>101</v>
      </c>
      <c r="M53" s="1" t="s">
        <v>44</v>
      </c>
      <c r="P53" s="2" t="b">
        <v>0</v>
      </c>
    </row>
    <row r="54" spans="1:16" x14ac:dyDescent="0.35">
      <c r="A54" s="2">
        <f>Tree!$H$96</f>
        <v>46156.248</v>
      </c>
      <c r="B54" s="1" t="s">
        <v>87</v>
      </c>
      <c r="C54" s="2">
        <v>0</v>
      </c>
      <c r="I54" s="2" t="s">
        <v>43</v>
      </c>
      <c r="J54" s="2">
        <f>Tree!$G$96</f>
        <v>0</v>
      </c>
      <c r="K54" s="2">
        <f>Tree!$G$95</f>
        <v>0</v>
      </c>
      <c r="L54" s="2" t="s">
        <v>102</v>
      </c>
      <c r="M54" s="1" t="s">
        <v>44</v>
      </c>
      <c r="O54" s="2" t="str">
        <f>Tree!$H$95</f>
        <v>Degradation Cost</v>
      </c>
      <c r="P54" s="2" t="b">
        <v>0</v>
      </c>
    </row>
    <row r="55" spans="1:16" x14ac:dyDescent="0.35">
      <c r="A55" s="2">
        <f>Tree!$I$92</f>
        <v>45626.02</v>
      </c>
      <c r="B55" s="1" t="s">
        <v>64</v>
      </c>
      <c r="C55" s="2">
        <v>0</v>
      </c>
      <c r="I55" s="2" t="s">
        <v>43</v>
      </c>
      <c r="J55" s="2">
        <f>Tree!$H$92</f>
        <v>1284.02</v>
      </c>
      <c r="K55" s="2">
        <f>Tree!$H$91</f>
        <v>0.8</v>
      </c>
      <c r="L55" s="2" t="s">
        <v>103</v>
      </c>
      <c r="M55" s="1" t="s">
        <v>44</v>
      </c>
      <c r="O55" s="2" t="str">
        <f>Tree!$I$91</f>
        <v>Maintenance Cost</v>
      </c>
      <c r="P55" s="2" t="b">
        <v>0</v>
      </c>
    </row>
    <row r="56" spans="1:16" x14ac:dyDescent="0.35">
      <c r="A56" s="2">
        <f>Tree!$J$90</f>
        <v>49301.02</v>
      </c>
      <c r="B56" s="1" t="s">
        <v>66</v>
      </c>
      <c r="C56" s="2">
        <v>0</v>
      </c>
      <c r="H56" s="2" t="s">
        <v>43</v>
      </c>
      <c r="I56" s="2" t="s">
        <v>43</v>
      </c>
      <c r="J56" s="2">
        <f>Tree!$I$90</f>
        <v>7500</v>
      </c>
      <c r="K56" s="2">
        <f>Tree!$I$89</f>
        <v>0.3</v>
      </c>
      <c r="L56" s="2" t="s">
        <v>104</v>
      </c>
      <c r="M56" s="1" t="s">
        <v>44</v>
      </c>
      <c r="P56" s="2" t="b">
        <v>0</v>
      </c>
    </row>
    <row r="57" spans="1:16" x14ac:dyDescent="0.35">
      <c r="A57" s="2">
        <f>Tree!$J$94</f>
        <v>44051.02</v>
      </c>
      <c r="B57" s="1" t="s">
        <v>76</v>
      </c>
      <c r="C57" s="2">
        <v>0</v>
      </c>
      <c r="H57" s="2" t="s">
        <v>43</v>
      </c>
      <c r="I57" s="2" t="s">
        <v>43</v>
      </c>
      <c r="J57" s="2">
        <f>Tree!$I$94</f>
        <v>2250</v>
      </c>
      <c r="K57" s="2">
        <f>Tree!$I$93</f>
        <v>0.7</v>
      </c>
      <c r="L57" s="2" t="s">
        <v>104</v>
      </c>
      <c r="M57" s="1" t="s">
        <v>44</v>
      </c>
      <c r="P57" s="2" t="b">
        <v>0</v>
      </c>
    </row>
    <row r="58" spans="1:16" x14ac:dyDescent="0.35">
      <c r="A58" s="2">
        <f>Tree!$I$100</f>
        <v>48277.16</v>
      </c>
      <c r="B58" s="1" t="s">
        <v>69</v>
      </c>
      <c r="C58" s="2">
        <v>0</v>
      </c>
      <c r="I58" s="2" t="s">
        <v>43</v>
      </c>
      <c r="J58" s="2">
        <f>Tree!$H$100</f>
        <v>3935.16</v>
      </c>
      <c r="K58" s="2">
        <f>Tree!$H$99</f>
        <v>0.19999999999999996</v>
      </c>
      <c r="L58" s="2" t="s">
        <v>105</v>
      </c>
      <c r="M58" s="1" t="s">
        <v>44</v>
      </c>
      <c r="O58" s="2" t="str">
        <f>Tree!$I$99</f>
        <v>Maintenance Cost</v>
      </c>
      <c r="P58" s="2" t="b">
        <v>0</v>
      </c>
    </row>
    <row r="59" spans="1:16" x14ac:dyDescent="0.35">
      <c r="A59" s="2">
        <f>Tree!$J$98</f>
        <v>51952.160000000003</v>
      </c>
      <c r="B59" s="1" t="s">
        <v>66</v>
      </c>
      <c r="C59" s="2">
        <v>0</v>
      </c>
      <c r="H59" s="2" t="s">
        <v>43</v>
      </c>
      <c r="I59" s="2" t="s">
        <v>43</v>
      </c>
      <c r="J59" s="2">
        <f>Tree!$I$98</f>
        <v>7500</v>
      </c>
      <c r="K59" s="2">
        <f>Tree!$I$97</f>
        <v>0.3</v>
      </c>
      <c r="L59" s="2" t="s">
        <v>106</v>
      </c>
      <c r="M59" s="1" t="s">
        <v>44</v>
      </c>
      <c r="P59" s="2" t="b">
        <v>0</v>
      </c>
    </row>
    <row r="60" spans="1:16" x14ac:dyDescent="0.35">
      <c r="A60" s="2">
        <f>Tree!$J$102</f>
        <v>46702.16</v>
      </c>
      <c r="B60" s="1" t="s">
        <v>76</v>
      </c>
      <c r="C60" s="2">
        <v>0</v>
      </c>
      <c r="H60" s="2" t="s">
        <v>43</v>
      </c>
      <c r="I60" s="2" t="s">
        <v>43</v>
      </c>
      <c r="J60" s="2">
        <f>Tree!$I$102</f>
        <v>2250</v>
      </c>
      <c r="K60" s="2">
        <f>Tree!$I$101</f>
        <v>0.7</v>
      </c>
      <c r="L60" s="2" t="s">
        <v>106</v>
      </c>
      <c r="M60" s="1" t="s">
        <v>44</v>
      </c>
      <c r="P60" s="2" t="b">
        <v>0</v>
      </c>
    </row>
    <row r="61" spans="1:16" x14ac:dyDescent="0.35">
      <c r="A61" s="2">
        <f>Tree!$G$120</f>
        <v>35857.773000000001</v>
      </c>
      <c r="B61" s="1" t="s">
        <v>79</v>
      </c>
      <c r="C61" s="2">
        <v>0</v>
      </c>
      <c r="I61" s="2" t="s">
        <v>43</v>
      </c>
      <c r="J61" s="2">
        <f>Tree!$F$120</f>
        <v>0</v>
      </c>
      <c r="K61" s="2">
        <f>Tree!$F$119</f>
        <v>0.45699999999999996</v>
      </c>
      <c r="L61" s="2" t="s">
        <v>107</v>
      </c>
      <c r="M61" s="1" t="s">
        <v>44</v>
      </c>
      <c r="O61" s="2" t="str">
        <f>Tree!$G$119</f>
        <v>VPP Contribution</v>
      </c>
      <c r="P61" s="2" t="b">
        <v>0</v>
      </c>
    </row>
    <row r="62" spans="1:16" x14ac:dyDescent="0.35">
      <c r="A62" s="2">
        <f>Tree!$H$112</f>
        <v>46156.248</v>
      </c>
      <c r="B62" s="1" t="s">
        <v>81</v>
      </c>
      <c r="C62" s="2">
        <v>0</v>
      </c>
      <c r="I62" s="2" t="s">
        <v>43</v>
      </c>
      <c r="J62" s="2">
        <f>Tree!$G$112</f>
        <v>0</v>
      </c>
      <c r="K62" s="2">
        <f>Tree!$G$111</f>
        <v>0</v>
      </c>
      <c r="L62" s="2" t="s">
        <v>108</v>
      </c>
      <c r="M62" s="1" t="s">
        <v>44</v>
      </c>
      <c r="O62" s="2" t="str">
        <f>Tree!$H$111</f>
        <v>Degradation Cost</v>
      </c>
      <c r="P62" s="2" t="b">
        <v>0</v>
      </c>
    </row>
    <row r="63" spans="1:16" x14ac:dyDescent="0.35">
      <c r="A63" s="2">
        <f>Tree!$I$108</f>
        <v>45626.02</v>
      </c>
      <c r="B63" s="1" t="s">
        <v>64</v>
      </c>
      <c r="C63" s="2">
        <v>0</v>
      </c>
      <c r="I63" s="2" t="s">
        <v>43</v>
      </c>
      <c r="J63" s="2">
        <f>Tree!$H$108</f>
        <v>1284.02</v>
      </c>
      <c r="K63" s="2">
        <f>Tree!$H$107</f>
        <v>0.8</v>
      </c>
      <c r="L63" s="2" t="s">
        <v>109</v>
      </c>
      <c r="M63" s="1" t="s">
        <v>44</v>
      </c>
      <c r="O63" s="2" t="str">
        <f>Tree!$I$107</f>
        <v>Maintenance Cost</v>
      </c>
      <c r="P63" s="2" t="b">
        <v>0</v>
      </c>
    </row>
    <row r="64" spans="1:16" x14ac:dyDescent="0.35">
      <c r="A64" s="2">
        <f>Tree!$J$106</f>
        <v>49301.02</v>
      </c>
      <c r="B64" s="1" t="s">
        <v>66</v>
      </c>
      <c r="C64" s="2">
        <v>0</v>
      </c>
      <c r="H64" s="2" t="s">
        <v>43</v>
      </c>
      <c r="I64" s="2" t="s">
        <v>43</v>
      </c>
      <c r="J64" s="2">
        <f>Tree!$I$106</f>
        <v>7500</v>
      </c>
      <c r="K64" s="2">
        <f>Tree!$I$105</f>
        <v>0.3</v>
      </c>
      <c r="L64" s="2" t="s">
        <v>110</v>
      </c>
      <c r="M64" s="1" t="s">
        <v>44</v>
      </c>
      <c r="P64" s="2" t="b">
        <v>0</v>
      </c>
    </row>
    <row r="65" spans="1:16" x14ac:dyDescent="0.35">
      <c r="A65" s="2">
        <f>Tree!$J$110</f>
        <v>44051.02</v>
      </c>
      <c r="B65" s="1" t="s">
        <v>76</v>
      </c>
      <c r="C65" s="2">
        <v>0</v>
      </c>
      <c r="H65" s="2" t="s">
        <v>43</v>
      </c>
      <c r="I65" s="2" t="s">
        <v>43</v>
      </c>
      <c r="J65" s="2">
        <f>Tree!$I$110</f>
        <v>2250</v>
      </c>
      <c r="K65" s="2">
        <f>Tree!$I$109</f>
        <v>0.7</v>
      </c>
      <c r="L65" s="2" t="s">
        <v>110</v>
      </c>
      <c r="M65" s="1" t="s">
        <v>44</v>
      </c>
      <c r="P65" s="2" t="b">
        <v>0</v>
      </c>
    </row>
    <row r="66" spans="1:16" x14ac:dyDescent="0.35">
      <c r="A66" s="2">
        <f>Tree!$I$116</f>
        <v>48277.16</v>
      </c>
      <c r="B66" s="1" t="s">
        <v>69</v>
      </c>
      <c r="C66" s="2">
        <v>0</v>
      </c>
      <c r="I66" s="2" t="s">
        <v>43</v>
      </c>
      <c r="J66" s="2">
        <f>Tree!$H$116</f>
        <v>3935.16</v>
      </c>
      <c r="K66" s="2">
        <f>Tree!$H$115</f>
        <v>0.19999999999999996</v>
      </c>
      <c r="L66" s="2" t="s">
        <v>111</v>
      </c>
      <c r="M66" s="1" t="s">
        <v>44</v>
      </c>
      <c r="O66" s="2" t="str">
        <f>Tree!$I$115</f>
        <v>Maintenance Cost</v>
      </c>
      <c r="P66" s="2" t="b">
        <v>0</v>
      </c>
    </row>
    <row r="67" spans="1:16" x14ac:dyDescent="0.35">
      <c r="A67" s="2">
        <f>Tree!$J$114</f>
        <v>51952.160000000003</v>
      </c>
      <c r="B67" s="1" t="s">
        <v>66</v>
      </c>
      <c r="C67" s="2">
        <v>0</v>
      </c>
      <c r="H67" s="2" t="s">
        <v>43</v>
      </c>
      <c r="I67" s="2" t="s">
        <v>43</v>
      </c>
      <c r="J67" s="2">
        <f>Tree!$I$114</f>
        <v>7500</v>
      </c>
      <c r="K67" s="2">
        <f>Tree!$I$113</f>
        <v>0.3</v>
      </c>
      <c r="L67" s="2" t="s">
        <v>112</v>
      </c>
      <c r="M67" s="1" t="s">
        <v>44</v>
      </c>
      <c r="P67" s="2" t="b">
        <v>0</v>
      </c>
    </row>
    <row r="68" spans="1:16" x14ac:dyDescent="0.35">
      <c r="A68" s="2">
        <f>Tree!$J$118</f>
        <v>46702.16</v>
      </c>
      <c r="B68" s="1" t="s">
        <v>76</v>
      </c>
      <c r="C68" s="2">
        <v>0</v>
      </c>
      <c r="H68" s="2" t="s">
        <v>43</v>
      </c>
      <c r="I68" s="2" t="s">
        <v>43</v>
      </c>
      <c r="J68" s="2">
        <f>Tree!$I$118</f>
        <v>2250</v>
      </c>
      <c r="K68" s="2">
        <f>Tree!$I$117</f>
        <v>0.7</v>
      </c>
      <c r="L68" s="2" t="s">
        <v>112</v>
      </c>
      <c r="M68" s="1" t="s">
        <v>44</v>
      </c>
      <c r="P68" s="2" t="b">
        <v>0</v>
      </c>
    </row>
    <row r="69" spans="1:16" x14ac:dyDescent="0.35">
      <c r="A69" s="2">
        <f>Tree!$H$128</f>
        <v>35857.773000000001</v>
      </c>
      <c r="B69" s="1" t="s">
        <v>87</v>
      </c>
      <c r="C69" s="2">
        <v>0</v>
      </c>
      <c r="I69" s="2" t="s">
        <v>43</v>
      </c>
      <c r="J69" s="2">
        <f>Tree!$G$128</f>
        <v>-10298.474999999999</v>
      </c>
      <c r="K69" s="2">
        <f>Tree!$G$127</f>
        <v>1</v>
      </c>
      <c r="L69" s="2" t="s">
        <v>113</v>
      </c>
      <c r="M69" s="1" t="s">
        <v>44</v>
      </c>
      <c r="O69" s="2" t="str">
        <f>Tree!$H$127</f>
        <v>Degradation Cost</v>
      </c>
      <c r="P69" s="2" t="b">
        <v>0</v>
      </c>
    </row>
    <row r="70" spans="1:16" x14ac:dyDescent="0.35">
      <c r="A70" s="2">
        <f>Tree!$I$124</f>
        <v>35327.544999999998</v>
      </c>
      <c r="B70" s="1" t="s">
        <v>64</v>
      </c>
      <c r="C70" s="2">
        <v>0</v>
      </c>
      <c r="I70" s="2" t="s">
        <v>43</v>
      </c>
      <c r="J70" s="2">
        <f>Tree!$H$124</f>
        <v>1284.02</v>
      </c>
      <c r="K70" s="2">
        <f>Tree!$H$123</f>
        <v>0.8</v>
      </c>
      <c r="L70" s="2" t="s">
        <v>114</v>
      </c>
      <c r="M70" s="1" t="s">
        <v>44</v>
      </c>
      <c r="O70" s="2" t="str">
        <f>Tree!$I$123</f>
        <v>Maintenance Cost</v>
      </c>
      <c r="P70" s="2" t="b">
        <v>0</v>
      </c>
    </row>
    <row r="71" spans="1:16" x14ac:dyDescent="0.35">
      <c r="A71" s="2">
        <f>Tree!$J$122</f>
        <v>39002.544999999998</v>
      </c>
      <c r="B71" s="1" t="s">
        <v>66</v>
      </c>
      <c r="C71" s="2">
        <v>0</v>
      </c>
      <c r="H71" s="2" t="s">
        <v>43</v>
      </c>
      <c r="I71" s="2" t="s">
        <v>43</v>
      </c>
      <c r="J71" s="2">
        <f>Tree!$I$122</f>
        <v>7500</v>
      </c>
      <c r="K71" s="2">
        <f>Tree!$I$121</f>
        <v>0.3</v>
      </c>
      <c r="L71" s="2" t="s">
        <v>115</v>
      </c>
      <c r="M71" s="1" t="s">
        <v>44</v>
      </c>
      <c r="P71" s="2" t="b">
        <v>0</v>
      </c>
    </row>
    <row r="72" spans="1:16" x14ac:dyDescent="0.35">
      <c r="A72" s="2">
        <f>Tree!$J$126</f>
        <v>33752.544999999998</v>
      </c>
      <c r="B72" s="1" t="s">
        <v>76</v>
      </c>
      <c r="C72" s="2">
        <v>0</v>
      </c>
      <c r="H72" s="2" t="s">
        <v>43</v>
      </c>
      <c r="I72" s="2" t="s">
        <v>43</v>
      </c>
      <c r="J72" s="2">
        <f>Tree!$I$126</f>
        <v>2250</v>
      </c>
      <c r="K72" s="2">
        <f>Tree!$I$125</f>
        <v>0.7</v>
      </c>
      <c r="L72" s="2" t="s">
        <v>115</v>
      </c>
      <c r="M72" s="1" t="s">
        <v>44</v>
      </c>
      <c r="P72" s="2" t="b">
        <v>0</v>
      </c>
    </row>
    <row r="73" spans="1:16" x14ac:dyDescent="0.35">
      <c r="A73" s="2">
        <f>Tree!$I$132</f>
        <v>37978.684999999998</v>
      </c>
      <c r="B73" s="1" t="s">
        <v>69</v>
      </c>
      <c r="C73" s="2">
        <v>0</v>
      </c>
      <c r="I73" s="2" t="s">
        <v>43</v>
      </c>
      <c r="J73" s="2">
        <f>Tree!$H$132</f>
        <v>3935.16</v>
      </c>
      <c r="K73" s="2">
        <f>Tree!$H$131</f>
        <v>0.19999999999999996</v>
      </c>
      <c r="L73" s="2" t="s">
        <v>116</v>
      </c>
      <c r="M73" s="1" t="s">
        <v>44</v>
      </c>
      <c r="O73" s="2" t="str">
        <f>Tree!$I$131</f>
        <v>Maintenance Cost</v>
      </c>
      <c r="P73" s="2" t="b">
        <v>0</v>
      </c>
    </row>
    <row r="74" spans="1:16" x14ac:dyDescent="0.35">
      <c r="A74" s="2">
        <f>Tree!$J$130</f>
        <v>41653.684999999998</v>
      </c>
      <c r="B74" s="1" t="s">
        <v>66</v>
      </c>
      <c r="C74" s="2">
        <v>0</v>
      </c>
      <c r="H74" s="2" t="s">
        <v>43</v>
      </c>
      <c r="I74" s="2" t="s">
        <v>43</v>
      </c>
      <c r="J74" s="2">
        <f>Tree!$I$130</f>
        <v>7500</v>
      </c>
      <c r="K74" s="2">
        <f>Tree!$I$129</f>
        <v>0.3</v>
      </c>
      <c r="L74" s="2" t="s">
        <v>117</v>
      </c>
      <c r="M74" s="1" t="s">
        <v>44</v>
      </c>
      <c r="P74" s="2" t="b">
        <v>0</v>
      </c>
    </row>
    <row r="75" spans="1:16" x14ac:dyDescent="0.35">
      <c r="A75" s="2">
        <f>Tree!$J$134</f>
        <v>36403.684999999998</v>
      </c>
      <c r="B75" s="1" t="s">
        <v>76</v>
      </c>
      <c r="C75" s="2">
        <v>0</v>
      </c>
      <c r="H75" s="2" t="s">
        <v>43</v>
      </c>
      <c r="I75" s="2" t="s">
        <v>43</v>
      </c>
      <c r="J75" s="2">
        <f>Tree!$I$134</f>
        <v>2250</v>
      </c>
      <c r="K75" s="2">
        <f>Tree!$I$133</f>
        <v>0.7</v>
      </c>
      <c r="L75" s="2" t="s">
        <v>117</v>
      </c>
      <c r="M75" s="1" t="s">
        <v>44</v>
      </c>
      <c r="P75" s="2" t="b">
        <v>0</v>
      </c>
    </row>
    <row r="76" spans="1:16" x14ac:dyDescent="0.35">
      <c r="A76" s="2">
        <f>Tree!$E$200</f>
        <v>17371.007850000002</v>
      </c>
      <c r="B76" s="1" t="s">
        <v>118</v>
      </c>
      <c r="C76" s="2">
        <v>0</v>
      </c>
      <c r="I76" s="2" t="s">
        <v>43</v>
      </c>
      <c r="J76" s="2">
        <f>Tree!$D$200</f>
        <v>14462</v>
      </c>
      <c r="L76" s="2" t="s">
        <v>119</v>
      </c>
      <c r="M76" s="1" t="s">
        <v>44</v>
      </c>
      <c r="O76" s="2" t="str">
        <f>Tree!$E$199</f>
        <v>Weather and Energy Prodn(kWh)</v>
      </c>
      <c r="P76" s="2" t="b">
        <v>0</v>
      </c>
    </row>
    <row r="77" spans="1:16" x14ac:dyDescent="0.35">
      <c r="A77" s="2">
        <f>Tree!$F$168</f>
        <v>11358.362850000001</v>
      </c>
      <c r="B77" s="1" t="s">
        <v>120</v>
      </c>
      <c r="C77" s="2">
        <v>0</v>
      </c>
      <c r="I77" s="2" t="s">
        <v>43</v>
      </c>
      <c r="J77" s="2">
        <f>Tree!$E$168</f>
        <v>0</v>
      </c>
      <c r="K77" s="2">
        <f>Tree!$E$167</f>
        <v>0.57499999999999996</v>
      </c>
      <c r="L77" s="2" t="s">
        <v>121</v>
      </c>
      <c r="M77" s="1" t="s">
        <v>44</v>
      </c>
      <c r="O77" s="2" t="str">
        <f>Tree!$F$167</f>
        <v>Household Consumption (kWh)</v>
      </c>
      <c r="P77" s="2" t="b">
        <v>0</v>
      </c>
    </row>
    <row r="78" spans="1:16" x14ac:dyDescent="0.35">
      <c r="A78" s="2">
        <f>Tree!$G$152</f>
        <v>24574.323</v>
      </c>
      <c r="B78" s="1" t="s">
        <v>95</v>
      </c>
      <c r="C78" s="2">
        <v>0</v>
      </c>
      <c r="I78" s="2" t="s">
        <v>43</v>
      </c>
      <c r="J78" s="2">
        <f>Tree!$F$152</f>
        <v>0</v>
      </c>
      <c r="K78" s="2">
        <f>Tree!$F$151</f>
        <v>0.54300000000000004</v>
      </c>
      <c r="L78" s="2" t="s">
        <v>122</v>
      </c>
      <c r="M78" s="1" t="s">
        <v>44</v>
      </c>
      <c r="O78" s="2" t="str">
        <f>Tree!$G$151</f>
        <v>VPP Contribution</v>
      </c>
      <c r="P78" s="2" t="b">
        <v>0</v>
      </c>
    </row>
    <row r="79" spans="1:16" x14ac:dyDescent="0.35">
      <c r="A79" s="2">
        <f>Tree!$H$144</f>
        <v>24574.323</v>
      </c>
      <c r="B79" s="1" t="s">
        <v>81</v>
      </c>
      <c r="C79" s="2">
        <v>0</v>
      </c>
      <c r="I79" s="2" t="s">
        <v>43</v>
      </c>
      <c r="J79" s="2">
        <f>Tree!$G$144</f>
        <v>4473.0750000000044</v>
      </c>
      <c r="K79" s="2">
        <f>Tree!$G$143</f>
        <v>1</v>
      </c>
      <c r="L79" s="2" t="s">
        <v>123</v>
      </c>
      <c r="M79" s="1" t="s">
        <v>44</v>
      </c>
      <c r="O79" s="2" t="str">
        <f>Tree!$H$143</f>
        <v>Degradation Cost</v>
      </c>
      <c r="P79" s="2" t="b">
        <v>0</v>
      </c>
    </row>
    <row r="80" spans="1:16" x14ac:dyDescent="0.35">
      <c r="A80" s="2">
        <f>Tree!$I$140</f>
        <v>24044.095000000001</v>
      </c>
      <c r="B80" s="1" t="s">
        <v>64</v>
      </c>
      <c r="C80" s="2">
        <v>0</v>
      </c>
      <c r="I80" s="2" t="s">
        <v>43</v>
      </c>
      <c r="J80" s="2">
        <f>Tree!$H$140</f>
        <v>1284.02</v>
      </c>
      <c r="K80" s="2">
        <f>Tree!$H$139</f>
        <v>0.8</v>
      </c>
      <c r="L80" s="2" t="s">
        <v>124</v>
      </c>
      <c r="M80" s="1" t="s">
        <v>44</v>
      </c>
      <c r="O80" s="2" t="str">
        <f>Tree!$I$139</f>
        <v>Maintenance Cost</v>
      </c>
      <c r="P80" s="2" t="b">
        <v>0</v>
      </c>
    </row>
    <row r="81" spans="1:16" x14ac:dyDescent="0.35">
      <c r="A81" s="2">
        <f>Tree!$J$138</f>
        <v>27719.095000000005</v>
      </c>
      <c r="B81" s="1" t="s">
        <v>66</v>
      </c>
      <c r="C81" s="2">
        <v>0</v>
      </c>
      <c r="H81" s="2" t="s">
        <v>43</v>
      </c>
      <c r="I81" s="2" t="s">
        <v>43</v>
      </c>
      <c r="J81" s="2">
        <f>Tree!$I$138</f>
        <v>7500</v>
      </c>
      <c r="K81" s="2">
        <f>Tree!$I$137</f>
        <v>0.3</v>
      </c>
      <c r="L81" s="2" t="s">
        <v>125</v>
      </c>
      <c r="M81" s="1" t="s">
        <v>44</v>
      </c>
      <c r="P81" s="2" t="b">
        <v>0</v>
      </c>
    </row>
    <row r="82" spans="1:16" x14ac:dyDescent="0.35">
      <c r="A82" s="2">
        <f>Tree!$J$142</f>
        <v>22469.095000000005</v>
      </c>
      <c r="B82" s="1" t="s">
        <v>76</v>
      </c>
      <c r="C82" s="2">
        <v>0</v>
      </c>
      <c r="H82" s="2" t="s">
        <v>43</v>
      </c>
      <c r="I82" s="2" t="s">
        <v>43</v>
      </c>
      <c r="J82" s="2">
        <f>Tree!$I$142</f>
        <v>2250</v>
      </c>
      <c r="K82" s="2">
        <f>Tree!$I$141</f>
        <v>0.7</v>
      </c>
      <c r="L82" s="2" t="s">
        <v>125</v>
      </c>
      <c r="M82" s="1" t="s">
        <v>44</v>
      </c>
      <c r="P82" s="2" t="b">
        <v>0</v>
      </c>
    </row>
    <row r="83" spans="1:16" x14ac:dyDescent="0.35">
      <c r="A83" s="2">
        <f>Tree!$I$148</f>
        <v>26695.235000000004</v>
      </c>
      <c r="B83" s="1" t="s">
        <v>69</v>
      </c>
      <c r="C83" s="2">
        <v>0</v>
      </c>
      <c r="I83" s="2" t="s">
        <v>43</v>
      </c>
      <c r="J83" s="2">
        <f>Tree!$H$148</f>
        <v>3935.16</v>
      </c>
      <c r="K83" s="2">
        <f>Tree!$H$147</f>
        <v>0.19999999999999996</v>
      </c>
      <c r="L83" s="2" t="s">
        <v>126</v>
      </c>
      <c r="M83" s="1" t="s">
        <v>44</v>
      </c>
      <c r="O83" s="2" t="str">
        <f>Tree!$I$147</f>
        <v>Maintenance Cost</v>
      </c>
      <c r="P83" s="2" t="b">
        <v>0</v>
      </c>
    </row>
    <row r="84" spans="1:16" x14ac:dyDescent="0.35">
      <c r="A84" s="2">
        <f>Tree!$J$146</f>
        <v>30370.235000000004</v>
      </c>
      <c r="B84" s="1" t="s">
        <v>66</v>
      </c>
      <c r="C84" s="2">
        <v>0</v>
      </c>
      <c r="H84" s="2" t="s">
        <v>43</v>
      </c>
      <c r="I84" s="2" t="s">
        <v>43</v>
      </c>
      <c r="J84" s="2">
        <f>Tree!$I$146</f>
        <v>7500</v>
      </c>
      <c r="K84" s="2">
        <f>Tree!$I$145</f>
        <v>0.3</v>
      </c>
      <c r="L84" s="2" t="s">
        <v>127</v>
      </c>
      <c r="M84" s="1" t="s">
        <v>44</v>
      </c>
      <c r="P84" s="2" t="b">
        <v>0</v>
      </c>
    </row>
    <row r="85" spans="1:16" x14ac:dyDescent="0.35">
      <c r="A85" s="2">
        <f>Tree!$J$150</f>
        <v>25120.235000000004</v>
      </c>
      <c r="B85" s="1" t="s">
        <v>76</v>
      </c>
      <c r="C85" s="2">
        <v>0</v>
      </c>
      <c r="H85" s="2" t="s">
        <v>43</v>
      </c>
      <c r="I85" s="2" t="s">
        <v>43</v>
      </c>
      <c r="J85" s="2">
        <f>Tree!$I$150</f>
        <v>2250</v>
      </c>
      <c r="K85" s="2">
        <f>Tree!$I$149</f>
        <v>0.7</v>
      </c>
      <c r="L85" s="2" t="s">
        <v>127</v>
      </c>
      <c r="M85" s="1" t="s">
        <v>44</v>
      </c>
      <c r="P85" s="2" t="b">
        <v>0</v>
      </c>
    </row>
    <row r="86" spans="1:16" x14ac:dyDescent="0.35">
      <c r="A86" s="2">
        <f>Tree!$H$160</f>
        <v>20101.248</v>
      </c>
      <c r="B86" s="1" t="s">
        <v>87</v>
      </c>
      <c r="C86" s="2">
        <v>0</v>
      </c>
      <c r="I86" s="2" t="s">
        <v>43</v>
      </c>
      <c r="J86" s="2">
        <f>Tree!$G$160</f>
        <v>0</v>
      </c>
      <c r="K86" s="2">
        <f>Tree!$G$159</f>
        <v>0</v>
      </c>
      <c r="L86" s="2" t="s">
        <v>128</v>
      </c>
      <c r="M86" s="1" t="s">
        <v>44</v>
      </c>
      <c r="O86" s="2" t="str">
        <f>Tree!$H$159</f>
        <v>Degradation Cost</v>
      </c>
      <c r="P86" s="2" t="b">
        <v>0</v>
      </c>
    </row>
    <row r="87" spans="1:16" x14ac:dyDescent="0.35">
      <c r="A87" s="2">
        <f>Tree!$I$156</f>
        <v>19571.02</v>
      </c>
      <c r="B87" s="1" t="s">
        <v>64</v>
      </c>
      <c r="C87" s="2">
        <v>0</v>
      </c>
      <c r="I87" s="2" t="s">
        <v>43</v>
      </c>
      <c r="J87" s="2">
        <f>Tree!$H$156</f>
        <v>1284.02</v>
      </c>
      <c r="K87" s="2">
        <f>Tree!$H$155</f>
        <v>0.8</v>
      </c>
      <c r="L87" s="2" t="s">
        <v>129</v>
      </c>
      <c r="M87" s="1" t="s">
        <v>44</v>
      </c>
      <c r="O87" s="2" t="str">
        <f>Tree!$I$155</f>
        <v>Maintenance Cost</v>
      </c>
      <c r="P87" s="2" t="b">
        <v>0</v>
      </c>
    </row>
    <row r="88" spans="1:16" x14ac:dyDescent="0.35">
      <c r="A88" s="2">
        <f>Tree!$J$154</f>
        <v>23246.02</v>
      </c>
      <c r="B88" s="1" t="s">
        <v>66</v>
      </c>
      <c r="C88" s="2">
        <v>0</v>
      </c>
      <c r="H88" s="2" t="s">
        <v>43</v>
      </c>
      <c r="I88" s="2" t="s">
        <v>43</v>
      </c>
      <c r="J88" s="2">
        <f>Tree!$I$154</f>
        <v>7500</v>
      </c>
      <c r="K88" s="2">
        <f>Tree!$I$153</f>
        <v>0.3</v>
      </c>
      <c r="L88" s="2" t="s">
        <v>130</v>
      </c>
      <c r="M88" s="1" t="s">
        <v>44</v>
      </c>
      <c r="P88" s="2" t="b">
        <v>0</v>
      </c>
    </row>
    <row r="89" spans="1:16" x14ac:dyDescent="0.35">
      <c r="A89" s="2">
        <f>Tree!$J$158</f>
        <v>17996.02</v>
      </c>
      <c r="B89" s="1" t="s">
        <v>76</v>
      </c>
      <c r="C89" s="2">
        <v>0</v>
      </c>
      <c r="H89" s="2" t="s">
        <v>43</v>
      </c>
      <c r="I89" s="2" t="s">
        <v>43</v>
      </c>
      <c r="J89" s="2">
        <f>Tree!$I$158</f>
        <v>2250</v>
      </c>
      <c r="K89" s="2">
        <f>Tree!$I$157</f>
        <v>0.7</v>
      </c>
      <c r="L89" s="2" t="s">
        <v>130</v>
      </c>
      <c r="M89" s="1" t="s">
        <v>44</v>
      </c>
      <c r="P89" s="2" t="b">
        <v>0</v>
      </c>
    </row>
    <row r="90" spans="1:16" x14ac:dyDescent="0.35">
      <c r="A90" s="2">
        <f>Tree!$I$164</f>
        <v>22222.159999999996</v>
      </c>
      <c r="B90" s="1" t="s">
        <v>69</v>
      </c>
      <c r="C90" s="2">
        <v>0</v>
      </c>
      <c r="I90" s="2" t="s">
        <v>43</v>
      </c>
      <c r="J90" s="2">
        <f>Tree!$H$164</f>
        <v>3935.16</v>
      </c>
      <c r="K90" s="2">
        <f>Tree!$H$163</f>
        <v>0.19999999999999996</v>
      </c>
      <c r="L90" s="2" t="s">
        <v>131</v>
      </c>
      <c r="M90" s="1" t="s">
        <v>44</v>
      </c>
      <c r="O90" s="2" t="str">
        <f>Tree!$I$163</f>
        <v>Maintenance Cost</v>
      </c>
      <c r="P90" s="2" t="b">
        <v>0</v>
      </c>
    </row>
    <row r="91" spans="1:16" x14ac:dyDescent="0.35">
      <c r="A91" s="2">
        <f>Tree!$J$162</f>
        <v>25897.16</v>
      </c>
      <c r="B91" s="1" t="s">
        <v>66</v>
      </c>
      <c r="C91" s="2">
        <v>0</v>
      </c>
      <c r="H91" s="2" t="s">
        <v>43</v>
      </c>
      <c r="I91" s="2" t="s">
        <v>43</v>
      </c>
      <c r="J91" s="2">
        <f>Tree!$I$162</f>
        <v>7500</v>
      </c>
      <c r="K91" s="2">
        <f>Tree!$I$161</f>
        <v>0.3</v>
      </c>
      <c r="L91" s="2" t="s">
        <v>132</v>
      </c>
      <c r="M91" s="1" t="s">
        <v>44</v>
      </c>
      <c r="P91" s="2" t="b">
        <v>0</v>
      </c>
    </row>
    <row r="92" spans="1:16" x14ac:dyDescent="0.35">
      <c r="A92" s="2">
        <f>Tree!$J$166</f>
        <v>20647.16</v>
      </c>
      <c r="B92" s="1" t="s">
        <v>76</v>
      </c>
      <c r="C92" s="2">
        <v>0</v>
      </c>
      <c r="H92" s="2" t="s">
        <v>43</v>
      </c>
      <c r="I92" s="2" t="s">
        <v>43</v>
      </c>
      <c r="J92" s="2">
        <f>Tree!$I$166</f>
        <v>2250</v>
      </c>
      <c r="K92" s="2">
        <f>Tree!$I$165</f>
        <v>0.7</v>
      </c>
      <c r="L92" s="2" t="s">
        <v>132</v>
      </c>
      <c r="M92" s="1" t="s">
        <v>44</v>
      </c>
      <c r="P92" s="2" t="b">
        <v>0</v>
      </c>
    </row>
    <row r="93" spans="1:16" x14ac:dyDescent="0.35">
      <c r="A93" s="2">
        <f>Tree!$G$184</f>
        <v>-4344.6270000000004</v>
      </c>
      <c r="B93" s="1" t="s">
        <v>79</v>
      </c>
      <c r="C93" s="2">
        <v>0</v>
      </c>
      <c r="I93" s="2" t="s">
        <v>43</v>
      </c>
      <c r="J93" s="2">
        <f>Tree!$F$184</f>
        <v>0</v>
      </c>
      <c r="K93" s="2">
        <f>Tree!$F$183</f>
        <v>0.45699999999999996</v>
      </c>
      <c r="L93" s="2" t="s">
        <v>133</v>
      </c>
      <c r="M93" s="1" t="s">
        <v>44</v>
      </c>
      <c r="O93" s="2" t="str">
        <f>Tree!$G$183</f>
        <v>VPP Contribution</v>
      </c>
      <c r="P93" s="2" t="b">
        <v>0</v>
      </c>
    </row>
    <row r="94" spans="1:16" x14ac:dyDescent="0.35">
      <c r="A94" s="2">
        <f>Tree!$H$176</f>
        <v>20101.248</v>
      </c>
      <c r="B94" s="1" t="s">
        <v>81</v>
      </c>
      <c r="C94" s="2">
        <v>0</v>
      </c>
      <c r="I94" s="2" t="s">
        <v>43</v>
      </c>
      <c r="J94" s="2">
        <f>Tree!$G$176</f>
        <v>0</v>
      </c>
      <c r="K94" s="2">
        <f>Tree!$G$175</f>
        <v>0</v>
      </c>
      <c r="L94" s="2" t="s">
        <v>134</v>
      </c>
      <c r="M94" s="1" t="s">
        <v>44</v>
      </c>
      <c r="O94" s="2" t="str">
        <f>Tree!$H$175</f>
        <v>Degradation Cost</v>
      </c>
      <c r="P94" s="2" t="b">
        <v>0</v>
      </c>
    </row>
    <row r="95" spans="1:16" x14ac:dyDescent="0.35">
      <c r="A95" s="2">
        <f>Tree!$I$172</f>
        <v>19571.02</v>
      </c>
      <c r="B95" s="1" t="s">
        <v>64</v>
      </c>
      <c r="C95" s="2">
        <v>0</v>
      </c>
      <c r="I95" s="2" t="s">
        <v>43</v>
      </c>
      <c r="J95" s="2">
        <f>Tree!$H$172</f>
        <v>1284.02</v>
      </c>
      <c r="K95" s="2">
        <f>Tree!$H$171</f>
        <v>0.8</v>
      </c>
      <c r="L95" s="2" t="s">
        <v>135</v>
      </c>
      <c r="M95" s="1" t="s">
        <v>44</v>
      </c>
      <c r="O95" s="2" t="str">
        <f>Tree!$I$171</f>
        <v>Maintenance Cost</v>
      </c>
      <c r="P95" s="2" t="b">
        <v>0</v>
      </c>
    </row>
    <row r="96" spans="1:16" x14ac:dyDescent="0.35">
      <c r="A96" s="2">
        <f>Tree!$J$170</f>
        <v>23246.02</v>
      </c>
      <c r="B96" s="1" t="s">
        <v>66</v>
      </c>
      <c r="C96" s="2">
        <v>0</v>
      </c>
      <c r="H96" s="2" t="s">
        <v>43</v>
      </c>
      <c r="I96" s="2" t="s">
        <v>43</v>
      </c>
      <c r="J96" s="2">
        <f>Tree!$I$170</f>
        <v>7500</v>
      </c>
      <c r="K96" s="2">
        <f>Tree!$I$169</f>
        <v>0.3</v>
      </c>
      <c r="L96" s="2" t="s">
        <v>136</v>
      </c>
      <c r="M96" s="1" t="s">
        <v>44</v>
      </c>
      <c r="P96" s="2" t="b">
        <v>0</v>
      </c>
    </row>
    <row r="97" spans="1:16" x14ac:dyDescent="0.35">
      <c r="A97" s="2">
        <f>Tree!$J$174</f>
        <v>17996.02</v>
      </c>
      <c r="B97" s="1" t="s">
        <v>76</v>
      </c>
      <c r="C97" s="2">
        <v>0</v>
      </c>
      <c r="H97" s="2" t="s">
        <v>43</v>
      </c>
      <c r="I97" s="2" t="s">
        <v>43</v>
      </c>
      <c r="J97" s="2">
        <f>Tree!$I$174</f>
        <v>2250</v>
      </c>
      <c r="K97" s="2">
        <f>Tree!$I$173</f>
        <v>0.7</v>
      </c>
      <c r="L97" s="2" t="s">
        <v>136</v>
      </c>
      <c r="M97" s="1" t="s">
        <v>44</v>
      </c>
      <c r="P97" s="2" t="b">
        <v>0</v>
      </c>
    </row>
    <row r="98" spans="1:16" x14ac:dyDescent="0.35">
      <c r="A98" s="2">
        <f>Tree!$I$180</f>
        <v>22222.159999999996</v>
      </c>
      <c r="B98" s="1" t="s">
        <v>69</v>
      </c>
      <c r="C98" s="2">
        <v>0</v>
      </c>
      <c r="I98" s="2" t="s">
        <v>43</v>
      </c>
      <c r="J98" s="2">
        <f>Tree!$H$180</f>
        <v>3935.16</v>
      </c>
      <c r="K98" s="2">
        <f>Tree!$H$179</f>
        <v>0.19999999999999996</v>
      </c>
      <c r="L98" s="2" t="s">
        <v>137</v>
      </c>
      <c r="M98" s="1" t="s">
        <v>44</v>
      </c>
      <c r="O98" s="2" t="str">
        <f>Tree!$I$179</f>
        <v>Maintenance Cost</v>
      </c>
      <c r="P98" s="2" t="b">
        <v>0</v>
      </c>
    </row>
    <row r="99" spans="1:16" x14ac:dyDescent="0.35">
      <c r="A99" s="2">
        <f>Tree!$J$178</f>
        <v>25897.16</v>
      </c>
      <c r="B99" s="1" t="s">
        <v>66</v>
      </c>
      <c r="C99" s="2">
        <v>0</v>
      </c>
      <c r="H99" s="2" t="s">
        <v>43</v>
      </c>
      <c r="I99" s="2" t="s">
        <v>43</v>
      </c>
      <c r="J99" s="2">
        <f>Tree!$I$178</f>
        <v>7500</v>
      </c>
      <c r="K99" s="2">
        <f>Tree!$I$177</f>
        <v>0.3</v>
      </c>
      <c r="L99" s="2" t="s">
        <v>138</v>
      </c>
      <c r="M99" s="1" t="s">
        <v>44</v>
      </c>
      <c r="P99" s="2" t="b">
        <v>0</v>
      </c>
    </row>
    <row r="100" spans="1:16" x14ac:dyDescent="0.35">
      <c r="A100" s="2">
        <f>Tree!$J$182</f>
        <v>20647.16</v>
      </c>
      <c r="B100" s="1" t="s">
        <v>76</v>
      </c>
      <c r="C100" s="2">
        <v>0</v>
      </c>
      <c r="H100" s="2" t="s">
        <v>43</v>
      </c>
      <c r="I100" s="2" t="s">
        <v>43</v>
      </c>
      <c r="J100" s="2">
        <f>Tree!$I$182</f>
        <v>2250</v>
      </c>
      <c r="K100" s="2">
        <f>Tree!$I$181</f>
        <v>0.7</v>
      </c>
      <c r="L100" s="2" t="s">
        <v>138</v>
      </c>
      <c r="M100" s="1" t="s">
        <v>44</v>
      </c>
      <c r="P100" s="2" t="b">
        <v>0</v>
      </c>
    </row>
    <row r="101" spans="1:16" x14ac:dyDescent="0.35">
      <c r="A101" s="2">
        <f>Tree!$H$192</f>
        <v>-4344.6270000000004</v>
      </c>
      <c r="B101" s="1" t="s">
        <v>87</v>
      </c>
      <c r="C101" s="2">
        <v>0</v>
      </c>
      <c r="I101" s="2" t="s">
        <v>43</v>
      </c>
      <c r="J101" s="2">
        <f>Tree!$G$192</f>
        <v>-24445.875</v>
      </c>
      <c r="K101" s="2">
        <f>Tree!$G$191</f>
        <v>1</v>
      </c>
      <c r="L101" s="2" t="s">
        <v>139</v>
      </c>
      <c r="M101" s="1" t="s">
        <v>44</v>
      </c>
      <c r="O101" s="2" t="str">
        <f>Tree!$H$191</f>
        <v>Degradation Cost</v>
      </c>
      <c r="P101" s="2" t="b">
        <v>0</v>
      </c>
    </row>
    <row r="102" spans="1:16" x14ac:dyDescent="0.35">
      <c r="A102" s="2">
        <f>Tree!$I$188</f>
        <v>-4874.8549999999996</v>
      </c>
      <c r="B102" s="1" t="s">
        <v>64</v>
      </c>
      <c r="C102" s="2">
        <v>0</v>
      </c>
      <c r="I102" s="2" t="s">
        <v>43</v>
      </c>
      <c r="J102" s="2">
        <f>Tree!$H$188</f>
        <v>1284.02</v>
      </c>
      <c r="K102" s="2">
        <f>Tree!$H$187</f>
        <v>0.8</v>
      </c>
      <c r="L102" s="2" t="s">
        <v>140</v>
      </c>
      <c r="M102" s="1" t="s">
        <v>44</v>
      </c>
      <c r="O102" s="2" t="str">
        <f>Tree!$I$187</f>
        <v>Maintenance Cost</v>
      </c>
      <c r="P102" s="2" t="b">
        <v>0</v>
      </c>
    </row>
    <row r="103" spans="1:16" x14ac:dyDescent="0.35">
      <c r="A103" s="2">
        <f>Tree!$J$186</f>
        <v>-1199.8549999999996</v>
      </c>
      <c r="B103" s="1" t="s">
        <v>66</v>
      </c>
      <c r="C103" s="2">
        <v>0</v>
      </c>
      <c r="H103" s="2" t="s">
        <v>43</v>
      </c>
      <c r="I103" s="2" t="s">
        <v>43</v>
      </c>
      <c r="J103" s="2">
        <f>Tree!$I$186</f>
        <v>7500</v>
      </c>
      <c r="K103" s="2">
        <f>Tree!$I$185</f>
        <v>0.3</v>
      </c>
      <c r="L103" s="2" t="s">
        <v>141</v>
      </c>
      <c r="M103" s="1" t="s">
        <v>44</v>
      </c>
      <c r="P103" s="2" t="b">
        <v>0</v>
      </c>
    </row>
    <row r="104" spans="1:16" x14ac:dyDescent="0.35">
      <c r="A104" s="2">
        <f>Tree!$J$190</f>
        <v>-6449.8549999999996</v>
      </c>
      <c r="B104" s="1" t="s">
        <v>76</v>
      </c>
      <c r="C104" s="2">
        <v>0</v>
      </c>
      <c r="H104" s="2" t="s">
        <v>43</v>
      </c>
      <c r="I104" s="2" t="s">
        <v>43</v>
      </c>
      <c r="J104" s="2">
        <f>Tree!$I$190</f>
        <v>2250</v>
      </c>
      <c r="K104" s="2">
        <f>Tree!$I$189</f>
        <v>0.7</v>
      </c>
      <c r="L104" s="2" t="s">
        <v>141</v>
      </c>
      <c r="M104" s="1" t="s">
        <v>44</v>
      </c>
      <c r="P104" s="2" t="b">
        <v>0</v>
      </c>
    </row>
    <row r="105" spans="1:16" x14ac:dyDescent="0.35">
      <c r="A105" s="2">
        <f>Tree!$I$196</f>
        <v>-2223.7150000000001</v>
      </c>
      <c r="B105" s="1" t="s">
        <v>69</v>
      </c>
      <c r="C105" s="2">
        <v>0</v>
      </c>
      <c r="I105" s="2" t="s">
        <v>43</v>
      </c>
      <c r="J105" s="2">
        <f>Tree!$H$196</f>
        <v>3935.16</v>
      </c>
      <c r="K105" s="2">
        <f>Tree!$H$195</f>
        <v>0.19999999999999996</v>
      </c>
      <c r="L105" s="2" t="s">
        <v>142</v>
      </c>
      <c r="M105" s="1" t="s">
        <v>44</v>
      </c>
      <c r="O105" s="2" t="str">
        <f>Tree!$I$195</f>
        <v>Maintenance Cost</v>
      </c>
      <c r="P105" s="2" t="b">
        <v>0</v>
      </c>
    </row>
    <row r="106" spans="1:16" x14ac:dyDescent="0.35">
      <c r="A106" s="2">
        <f>Tree!$J$194</f>
        <v>1451.2849999999999</v>
      </c>
      <c r="B106" s="1" t="s">
        <v>66</v>
      </c>
      <c r="C106" s="2">
        <v>0</v>
      </c>
      <c r="H106" s="2" t="s">
        <v>43</v>
      </c>
      <c r="I106" s="2" t="s">
        <v>43</v>
      </c>
      <c r="J106" s="2">
        <f>Tree!$I$194</f>
        <v>7500</v>
      </c>
      <c r="K106" s="2">
        <f>Tree!$I$193</f>
        <v>0.3</v>
      </c>
      <c r="L106" s="2" t="s">
        <v>143</v>
      </c>
      <c r="M106" s="1" t="s">
        <v>44</v>
      </c>
      <c r="P106" s="2" t="b">
        <v>0</v>
      </c>
    </row>
    <row r="107" spans="1:16" x14ac:dyDescent="0.35">
      <c r="A107" s="2">
        <f>Tree!$J$198</f>
        <v>-3798.7150000000001</v>
      </c>
      <c r="B107" s="1" t="s">
        <v>76</v>
      </c>
      <c r="C107" s="2">
        <v>0</v>
      </c>
      <c r="H107" s="2" t="s">
        <v>43</v>
      </c>
      <c r="I107" s="2" t="s">
        <v>43</v>
      </c>
      <c r="J107" s="2">
        <f>Tree!$I$198</f>
        <v>2250</v>
      </c>
      <c r="K107" s="2">
        <f>Tree!$I$197</f>
        <v>0.7</v>
      </c>
      <c r="L107" s="2" t="s">
        <v>143</v>
      </c>
      <c r="M107" s="1" t="s">
        <v>44</v>
      </c>
      <c r="P107" s="2" t="b">
        <v>0</v>
      </c>
    </row>
    <row r="108" spans="1:16" x14ac:dyDescent="0.35">
      <c r="A108" s="2">
        <f>Tree!$F$232</f>
        <v>25505.762850000003</v>
      </c>
      <c r="B108" s="1" t="s">
        <v>93</v>
      </c>
      <c r="C108" s="2">
        <v>0</v>
      </c>
      <c r="I108" s="2" t="s">
        <v>43</v>
      </c>
      <c r="J108" s="2">
        <f>Tree!$E$232</f>
        <v>0</v>
      </c>
      <c r="K108" s="2">
        <f>Tree!$E$231</f>
        <v>0.42500000000000004</v>
      </c>
      <c r="L108" s="2" t="s">
        <v>144</v>
      </c>
      <c r="M108" s="1" t="s">
        <v>44</v>
      </c>
      <c r="O108" s="2" t="str">
        <f>Tree!$F$231</f>
        <v>Household Consumption (kWh)</v>
      </c>
      <c r="P108" s="2" t="b">
        <v>0</v>
      </c>
    </row>
    <row r="109" spans="1:16" x14ac:dyDescent="0.35">
      <c r="A109" s="2">
        <f>Tree!$G$216</f>
        <v>38721.723000000005</v>
      </c>
      <c r="B109" s="1" t="s">
        <v>95</v>
      </c>
      <c r="C109" s="2">
        <v>0</v>
      </c>
      <c r="I109" s="2" t="s">
        <v>43</v>
      </c>
      <c r="J109" s="2">
        <f>Tree!$F$216</f>
        <v>0</v>
      </c>
      <c r="K109" s="2">
        <f>Tree!$F$215</f>
        <v>0.54300000000000004</v>
      </c>
      <c r="L109" s="2" t="s">
        <v>145</v>
      </c>
      <c r="M109" s="1" t="s">
        <v>44</v>
      </c>
      <c r="O109" s="2" t="str">
        <f>Tree!$G$215</f>
        <v>VPP Contribution</v>
      </c>
      <c r="P109" s="2" t="b">
        <v>0</v>
      </c>
    </row>
    <row r="110" spans="1:16" x14ac:dyDescent="0.35">
      <c r="A110" s="2">
        <f>Tree!$H$208</f>
        <v>38721.723000000005</v>
      </c>
      <c r="B110" s="1" t="s">
        <v>81</v>
      </c>
      <c r="C110" s="2">
        <v>0</v>
      </c>
      <c r="I110" s="2" t="s">
        <v>43</v>
      </c>
      <c r="J110" s="2">
        <f>Tree!$G$208</f>
        <v>18620.475000000006</v>
      </c>
      <c r="K110" s="2">
        <f>Tree!$G$207</f>
        <v>1</v>
      </c>
      <c r="L110" s="2" t="s">
        <v>146</v>
      </c>
      <c r="M110" s="1" t="s">
        <v>44</v>
      </c>
      <c r="O110" s="2" t="str">
        <f>Tree!$H$207</f>
        <v>Degradation Cost</v>
      </c>
      <c r="P110" s="2" t="b">
        <v>0</v>
      </c>
    </row>
    <row r="111" spans="1:16" x14ac:dyDescent="0.35">
      <c r="A111" s="2">
        <f>Tree!$I$204</f>
        <v>38191.495000000003</v>
      </c>
      <c r="B111" s="1" t="s">
        <v>64</v>
      </c>
      <c r="C111" s="2">
        <v>0</v>
      </c>
      <c r="I111" s="2" t="s">
        <v>43</v>
      </c>
      <c r="J111" s="2">
        <f>Tree!$H$204</f>
        <v>1284.02</v>
      </c>
      <c r="K111" s="2">
        <f>Tree!$H$203</f>
        <v>0.8</v>
      </c>
      <c r="L111" s="2" t="s">
        <v>147</v>
      </c>
      <c r="M111" s="1" t="s">
        <v>44</v>
      </c>
      <c r="O111" s="2" t="str">
        <f>Tree!$I$203</f>
        <v>Maintenance Cost</v>
      </c>
      <c r="P111" s="2" t="b">
        <v>0</v>
      </c>
    </row>
    <row r="112" spans="1:16" x14ac:dyDescent="0.35">
      <c r="A112" s="2">
        <f>Tree!$J$202</f>
        <v>41866.495000000003</v>
      </c>
      <c r="B112" s="1" t="s">
        <v>66</v>
      </c>
      <c r="C112" s="2">
        <v>0</v>
      </c>
      <c r="H112" s="2" t="s">
        <v>43</v>
      </c>
      <c r="I112" s="2" t="s">
        <v>43</v>
      </c>
      <c r="J112" s="2">
        <f>Tree!$I$202</f>
        <v>7500</v>
      </c>
      <c r="K112" s="2">
        <f>Tree!$I$201</f>
        <v>0.3</v>
      </c>
      <c r="L112" s="2" t="s">
        <v>148</v>
      </c>
      <c r="M112" s="1" t="s">
        <v>44</v>
      </c>
      <c r="P112" s="2" t="b">
        <v>0</v>
      </c>
    </row>
    <row r="113" spans="1:16" x14ac:dyDescent="0.35">
      <c r="A113" s="2">
        <f>Tree!$J$206</f>
        <v>36616.495000000003</v>
      </c>
      <c r="B113" s="1" t="s">
        <v>76</v>
      </c>
      <c r="C113" s="2">
        <v>0</v>
      </c>
      <c r="H113" s="2" t="s">
        <v>43</v>
      </c>
      <c r="I113" s="2" t="s">
        <v>43</v>
      </c>
      <c r="J113" s="2">
        <f>Tree!$I$206</f>
        <v>2250</v>
      </c>
      <c r="K113" s="2">
        <f>Tree!$I$205</f>
        <v>0.7</v>
      </c>
      <c r="L113" s="2" t="s">
        <v>148</v>
      </c>
      <c r="M113" s="1" t="s">
        <v>44</v>
      </c>
      <c r="P113" s="2" t="b">
        <v>0</v>
      </c>
    </row>
    <row r="114" spans="1:16" x14ac:dyDescent="0.35">
      <c r="A114" s="2">
        <f>Tree!$I$212</f>
        <v>40842.635000000009</v>
      </c>
      <c r="B114" s="1" t="s">
        <v>69</v>
      </c>
      <c r="C114" s="2">
        <v>0</v>
      </c>
      <c r="I114" s="2" t="s">
        <v>43</v>
      </c>
      <c r="J114" s="2">
        <f>Tree!$H$212</f>
        <v>3935.16</v>
      </c>
      <c r="K114" s="2">
        <f>Tree!$H$211</f>
        <v>0.19999999999999996</v>
      </c>
      <c r="L114" s="2" t="s">
        <v>149</v>
      </c>
      <c r="M114" s="1" t="s">
        <v>44</v>
      </c>
      <c r="O114" s="2" t="str">
        <f>Tree!$I$211</f>
        <v>Maintenance Cost</v>
      </c>
      <c r="P114" s="2" t="b">
        <v>0</v>
      </c>
    </row>
    <row r="115" spans="1:16" x14ac:dyDescent="0.35">
      <c r="A115" s="2">
        <f>Tree!$J$210</f>
        <v>44517.635000000009</v>
      </c>
      <c r="B115" s="1" t="s">
        <v>66</v>
      </c>
      <c r="C115" s="2">
        <v>0</v>
      </c>
      <c r="H115" s="2" t="s">
        <v>43</v>
      </c>
      <c r="I115" s="2" t="s">
        <v>43</v>
      </c>
      <c r="J115" s="2">
        <f>Tree!$I$210</f>
        <v>7500</v>
      </c>
      <c r="K115" s="2">
        <f>Tree!$I$209</f>
        <v>0.3</v>
      </c>
      <c r="L115" s="2" t="s">
        <v>150</v>
      </c>
      <c r="M115" s="1" t="s">
        <v>44</v>
      </c>
      <c r="P115" s="2" t="b">
        <v>0</v>
      </c>
    </row>
    <row r="116" spans="1:16" x14ac:dyDescent="0.35">
      <c r="A116" s="2">
        <f>Tree!$J$214</f>
        <v>39267.635000000009</v>
      </c>
      <c r="B116" s="1" t="s">
        <v>76</v>
      </c>
      <c r="C116" s="2">
        <v>0</v>
      </c>
      <c r="H116" s="2" t="s">
        <v>43</v>
      </c>
      <c r="I116" s="2" t="s">
        <v>43</v>
      </c>
      <c r="J116" s="2">
        <f>Tree!$I$214</f>
        <v>2250</v>
      </c>
      <c r="K116" s="2">
        <f>Tree!$I$213</f>
        <v>0.7</v>
      </c>
      <c r="L116" s="2" t="s">
        <v>150</v>
      </c>
      <c r="M116" s="1" t="s">
        <v>44</v>
      </c>
      <c r="P116" s="2" t="b">
        <v>0</v>
      </c>
    </row>
    <row r="117" spans="1:16" x14ac:dyDescent="0.35">
      <c r="A117" s="2">
        <f>Tree!$H$224</f>
        <v>20101.248</v>
      </c>
      <c r="B117" s="1" t="s">
        <v>87</v>
      </c>
      <c r="C117" s="2">
        <v>0</v>
      </c>
      <c r="I117" s="2" t="s">
        <v>43</v>
      </c>
      <c r="J117" s="2">
        <f>Tree!$G$224</f>
        <v>0</v>
      </c>
      <c r="K117" s="2">
        <f>Tree!$G$223</f>
        <v>0</v>
      </c>
      <c r="L117" s="2" t="s">
        <v>151</v>
      </c>
      <c r="M117" s="1" t="s">
        <v>44</v>
      </c>
      <c r="O117" s="2" t="str">
        <f>Tree!$H$223</f>
        <v>Degradation Cost</v>
      </c>
      <c r="P117" s="2" t="b">
        <v>0</v>
      </c>
    </row>
    <row r="118" spans="1:16" x14ac:dyDescent="0.35">
      <c r="A118" s="2">
        <f>Tree!$I$220</f>
        <v>19571.02</v>
      </c>
      <c r="B118" s="1" t="s">
        <v>64</v>
      </c>
      <c r="C118" s="2">
        <v>0</v>
      </c>
      <c r="I118" s="2" t="s">
        <v>43</v>
      </c>
      <c r="J118" s="2">
        <f>Tree!$H$220</f>
        <v>1284.02</v>
      </c>
      <c r="K118" s="2">
        <f>Tree!$H$219</f>
        <v>0.8</v>
      </c>
      <c r="L118" s="2" t="s">
        <v>152</v>
      </c>
      <c r="M118" s="1" t="s">
        <v>44</v>
      </c>
      <c r="O118" s="2" t="str">
        <f>Tree!$I$219</f>
        <v>Maintenance Cost</v>
      </c>
      <c r="P118" s="2" t="b">
        <v>0</v>
      </c>
    </row>
    <row r="119" spans="1:16" x14ac:dyDescent="0.35">
      <c r="A119" s="2">
        <f>Tree!$J$218</f>
        <v>23246.02</v>
      </c>
      <c r="B119" s="1" t="s">
        <v>66</v>
      </c>
      <c r="C119" s="2">
        <v>0</v>
      </c>
      <c r="H119" s="2" t="s">
        <v>43</v>
      </c>
      <c r="I119" s="2" t="s">
        <v>43</v>
      </c>
      <c r="J119" s="2">
        <f>Tree!$I$218</f>
        <v>7500</v>
      </c>
      <c r="K119" s="2">
        <f>Tree!$I$217</f>
        <v>0.3</v>
      </c>
      <c r="L119" s="2" t="s">
        <v>153</v>
      </c>
      <c r="M119" s="1" t="s">
        <v>44</v>
      </c>
      <c r="P119" s="2" t="b">
        <v>0</v>
      </c>
    </row>
    <row r="120" spans="1:16" x14ac:dyDescent="0.35">
      <c r="A120" s="2">
        <f>Tree!$J$222</f>
        <v>17996.02</v>
      </c>
      <c r="B120" s="1" t="s">
        <v>76</v>
      </c>
      <c r="C120" s="2">
        <v>0</v>
      </c>
      <c r="H120" s="2" t="s">
        <v>43</v>
      </c>
      <c r="I120" s="2" t="s">
        <v>43</v>
      </c>
      <c r="J120" s="2">
        <f>Tree!$I$222</f>
        <v>2250</v>
      </c>
      <c r="K120" s="2">
        <f>Tree!$I$221</f>
        <v>0.7</v>
      </c>
      <c r="L120" s="2" t="s">
        <v>153</v>
      </c>
      <c r="M120" s="1" t="s">
        <v>44</v>
      </c>
      <c r="P120" s="2" t="b">
        <v>0</v>
      </c>
    </row>
    <row r="121" spans="1:16" x14ac:dyDescent="0.35">
      <c r="A121" s="2">
        <f>Tree!$I$228</f>
        <v>22222.159999999996</v>
      </c>
      <c r="B121" s="1" t="s">
        <v>69</v>
      </c>
      <c r="C121" s="2">
        <v>0</v>
      </c>
      <c r="I121" s="2" t="s">
        <v>43</v>
      </c>
      <c r="J121" s="2">
        <f>Tree!$H$228</f>
        <v>3935.16</v>
      </c>
      <c r="K121" s="2">
        <f>Tree!$H$227</f>
        <v>0.19999999999999996</v>
      </c>
      <c r="L121" s="2" t="s">
        <v>154</v>
      </c>
      <c r="M121" s="1" t="s">
        <v>44</v>
      </c>
      <c r="O121" s="2" t="str">
        <f>Tree!$I$227</f>
        <v>Maintenance Cost</v>
      </c>
      <c r="P121" s="2" t="b">
        <v>0</v>
      </c>
    </row>
    <row r="122" spans="1:16" x14ac:dyDescent="0.35">
      <c r="A122" s="2">
        <f>Tree!$J$226</f>
        <v>25897.16</v>
      </c>
      <c r="B122" s="1" t="s">
        <v>66</v>
      </c>
      <c r="C122" s="2">
        <v>0</v>
      </c>
      <c r="H122" s="2" t="s">
        <v>43</v>
      </c>
      <c r="I122" s="2" t="s">
        <v>43</v>
      </c>
      <c r="J122" s="2">
        <f>Tree!$I$226</f>
        <v>7500</v>
      </c>
      <c r="K122" s="2">
        <f>Tree!$I$225</f>
        <v>0.3</v>
      </c>
      <c r="L122" s="2" t="s">
        <v>155</v>
      </c>
      <c r="M122" s="1" t="s">
        <v>44</v>
      </c>
      <c r="P122" s="2" t="b">
        <v>0</v>
      </c>
    </row>
    <row r="123" spans="1:16" x14ac:dyDescent="0.35">
      <c r="A123" s="2">
        <f>Tree!$J$230</f>
        <v>20647.16</v>
      </c>
      <c r="B123" s="1" t="s">
        <v>76</v>
      </c>
      <c r="C123" s="2">
        <v>0</v>
      </c>
      <c r="H123" s="2" t="s">
        <v>43</v>
      </c>
      <c r="I123" s="2" t="s">
        <v>43</v>
      </c>
      <c r="J123" s="2">
        <f>Tree!$I$230</f>
        <v>2250</v>
      </c>
      <c r="K123" s="2">
        <f>Tree!$I$229</f>
        <v>0.7</v>
      </c>
      <c r="L123" s="2" t="s">
        <v>155</v>
      </c>
      <c r="M123" s="1" t="s">
        <v>44</v>
      </c>
      <c r="P123" s="2" t="b">
        <v>0</v>
      </c>
    </row>
    <row r="124" spans="1:16" x14ac:dyDescent="0.35">
      <c r="A124" s="2">
        <f>Tree!$G$248</f>
        <v>9802.773000000001</v>
      </c>
      <c r="B124" s="1" t="s">
        <v>79</v>
      </c>
      <c r="C124" s="2">
        <v>0</v>
      </c>
      <c r="I124" s="2" t="s">
        <v>43</v>
      </c>
      <c r="J124" s="2">
        <f>Tree!$F$248</f>
        <v>0</v>
      </c>
      <c r="K124" s="2">
        <f>Tree!$F$247</f>
        <v>0.45699999999999996</v>
      </c>
      <c r="L124" s="2" t="s">
        <v>156</v>
      </c>
      <c r="M124" s="1" t="s">
        <v>44</v>
      </c>
      <c r="O124" s="2" t="str">
        <f>Tree!$G$247</f>
        <v>VPP Contribution</v>
      </c>
      <c r="P124" s="2" t="b">
        <v>0</v>
      </c>
    </row>
    <row r="125" spans="1:16" x14ac:dyDescent="0.35">
      <c r="A125" s="2">
        <f>Tree!$H$240</f>
        <v>20101.248</v>
      </c>
      <c r="B125" s="1" t="s">
        <v>81</v>
      </c>
      <c r="C125" s="2">
        <v>0</v>
      </c>
      <c r="I125" s="2" t="s">
        <v>43</v>
      </c>
      <c r="J125" s="2">
        <f>Tree!$G$240</f>
        <v>0</v>
      </c>
      <c r="K125" s="2">
        <f>Tree!$G$239</f>
        <v>0</v>
      </c>
      <c r="L125" s="2" t="s">
        <v>157</v>
      </c>
      <c r="M125" s="1" t="s">
        <v>44</v>
      </c>
      <c r="O125" s="2" t="str">
        <f>Tree!$H$239</f>
        <v>Degradation Cost</v>
      </c>
      <c r="P125" s="2" t="b">
        <v>0</v>
      </c>
    </row>
    <row r="126" spans="1:16" x14ac:dyDescent="0.35">
      <c r="A126" s="2">
        <f>Tree!$I$236</f>
        <v>19571.02</v>
      </c>
      <c r="B126" s="1" t="s">
        <v>64</v>
      </c>
      <c r="C126" s="2">
        <v>0</v>
      </c>
      <c r="I126" s="2" t="s">
        <v>43</v>
      </c>
      <c r="J126" s="2">
        <f>Tree!$H$236</f>
        <v>1284.02</v>
      </c>
      <c r="K126" s="2">
        <f>Tree!$H$235</f>
        <v>0.8</v>
      </c>
      <c r="L126" s="2" t="s">
        <v>158</v>
      </c>
      <c r="M126" s="1" t="s">
        <v>44</v>
      </c>
      <c r="O126" s="2" t="str">
        <f>Tree!$I$235</f>
        <v>Maintenance Cost</v>
      </c>
      <c r="P126" s="2" t="b">
        <v>0</v>
      </c>
    </row>
    <row r="127" spans="1:16" x14ac:dyDescent="0.35">
      <c r="A127" s="2">
        <f>Tree!$J$234</f>
        <v>23246.02</v>
      </c>
      <c r="B127" s="1" t="s">
        <v>66</v>
      </c>
      <c r="C127" s="2">
        <v>0</v>
      </c>
      <c r="H127" s="2" t="s">
        <v>43</v>
      </c>
      <c r="I127" s="2" t="s">
        <v>43</v>
      </c>
      <c r="J127" s="2">
        <f>Tree!$I$234</f>
        <v>7500</v>
      </c>
      <c r="K127" s="2">
        <f>Tree!$I$233</f>
        <v>0.3</v>
      </c>
      <c r="L127" s="2" t="s">
        <v>159</v>
      </c>
      <c r="M127" s="1" t="s">
        <v>44</v>
      </c>
      <c r="P127" s="2" t="b">
        <v>0</v>
      </c>
    </row>
    <row r="128" spans="1:16" x14ac:dyDescent="0.35">
      <c r="A128" s="2">
        <f>Tree!$J$238</f>
        <v>17996.02</v>
      </c>
      <c r="B128" s="1" t="s">
        <v>76</v>
      </c>
      <c r="C128" s="2">
        <v>0</v>
      </c>
      <c r="H128" s="2" t="s">
        <v>43</v>
      </c>
      <c r="I128" s="2" t="s">
        <v>43</v>
      </c>
      <c r="J128" s="2">
        <f>Tree!$I$238</f>
        <v>2250</v>
      </c>
      <c r="K128" s="2">
        <f>Tree!$I$237</f>
        <v>0.7</v>
      </c>
      <c r="L128" s="2" t="s">
        <v>159</v>
      </c>
      <c r="M128" s="1" t="s">
        <v>44</v>
      </c>
      <c r="P128" s="2" t="b">
        <v>0</v>
      </c>
    </row>
    <row r="129" spans="1:16" x14ac:dyDescent="0.35">
      <c r="A129" s="2">
        <f>Tree!$I$244</f>
        <v>22222.159999999996</v>
      </c>
      <c r="B129" s="1" t="s">
        <v>69</v>
      </c>
      <c r="C129" s="2">
        <v>0</v>
      </c>
      <c r="I129" s="2" t="s">
        <v>43</v>
      </c>
      <c r="J129" s="2">
        <f>Tree!$H$244</f>
        <v>3935.16</v>
      </c>
      <c r="K129" s="2">
        <f>Tree!$H$243</f>
        <v>0.19999999999999996</v>
      </c>
      <c r="L129" s="2" t="s">
        <v>160</v>
      </c>
      <c r="M129" s="1" t="s">
        <v>44</v>
      </c>
      <c r="O129" s="2" t="str">
        <f>Tree!$I$243</f>
        <v>Maintenance Cost</v>
      </c>
      <c r="P129" s="2" t="b">
        <v>0</v>
      </c>
    </row>
    <row r="130" spans="1:16" x14ac:dyDescent="0.35">
      <c r="A130" s="2">
        <f>Tree!$J$242</f>
        <v>25897.16</v>
      </c>
      <c r="B130" s="1" t="s">
        <v>66</v>
      </c>
      <c r="C130" s="2">
        <v>0</v>
      </c>
      <c r="H130" s="2" t="s">
        <v>43</v>
      </c>
      <c r="I130" s="2" t="s">
        <v>43</v>
      </c>
      <c r="J130" s="2">
        <f>Tree!$I$242</f>
        <v>7500</v>
      </c>
      <c r="K130" s="2">
        <f>Tree!$I$241</f>
        <v>0.3</v>
      </c>
      <c r="L130" s="2" t="s">
        <v>161</v>
      </c>
      <c r="M130" s="1" t="s">
        <v>44</v>
      </c>
      <c r="P130" s="2" t="b">
        <v>0</v>
      </c>
    </row>
    <row r="131" spans="1:16" x14ac:dyDescent="0.35">
      <c r="A131" s="2">
        <f>Tree!$J$246</f>
        <v>20647.16</v>
      </c>
      <c r="B131" s="1" t="s">
        <v>76</v>
      </c>
      <c r="C131" s="2">
        <v>0</v>
      </c>
      <c r="H131" s="2" t="s">
        <v>43</v>
      </c>
      <c r="I131" s="2" t="s">
        <v>43</v>
      </c>
      <c r="J131" s="2">
        <f>Tree!$I$246</f>
        <v>2250</v>
      </c>
      <c r="K131" s="2">
        <f>Tree!$I$245</f>
        <v>0.7</v>
      </c>
      <c r="L131" s="2" t="s">
        <v>161</v>
      </c>
      <c r="M131" s="1" t="s">
        <v>44</v>
      </c>
      <c r="P131" s="2" t="b">
        <v>0</v>
      </c>
    </row>
    <row r="132" spans="1:16" x14ac:dyDescent="0.35">
      <c r="A132" s="2">
        <f>Tree!$H$256</f>
        <v>9802.773000000001</v>
      </c>
      <c r="B132" s="1" t="s">
        <v>87</v>
      </c>
      <c r="C132" s="2">
        <v>0</v>
      </c>
      <c r="I132" s="2" t="s">
        <v>43</v>
      </c>
      <c r="J132" s="2">
        <f>Tree!$G$256</f>
        <v>-10298.474999999999</v>
      </c>
      <c r="K132" s="2">
        <f>Tree!$G$255</f>
        <v>1</v>
      </c>
      <c r="L132" s="2" t="s">
        <v>162</v>
      </c>
      <c r="M132" s="1" t="s">
        <v>44</v>
      </c>
      <c r="O132" s="2" t="str">
        <f>Tree!$H$255</f>
        <v>Degradation Cost</v>
      </c>
      <c r="P132" s="2" t="b">
        <v>0</v>
      </c>
    </row>
    <row r="133" spans="1:16" x14ac:dyDescent="0.35">
      <c r="A133" s="2">
        <f>Tree!$I$252</f>
        <v>9272.5450000000019</v>
      </c>
      <c r="B133" s="1" t="s">
        <v>64</v>
      </c>
      <c r="C133" s="2">
        <v>0</v>
      </c>
      <c r="I133" s="2" t="s">
        <v>43</v>
      </c>
      <c r="J133" s="2">
        <f>Tree!$H$252</f>
        <v>1284.02</v>
      </c>
      <c r="K133" s="2">
        <f>Tree!$H$251</f>
        <v>0.8</v>
      </c>
      <c r="L133" s="2" t="s">
        <v>163</v>
      </c>
      <c r="M133" s="1" t="s">
        <v>44</v>
      </c>
      <c r="O133" s="2" t="str">
        <f>Tree!$I$251</f>
        <v>Maintenance Cost</v>
      </c>
      <c r="P133" s="2" t="b">
        <v>0</v>
      </c>
    </row>
    <row r="134" spans="1:16" x14ac:dyDescent="0.35">
      <c r="A134" s="2">
        <f>Tree!$J$250</f>
        <v>12947.545000000002</v>
      </c>
      <c r="B134" s="1" t="s">
        <v>66</v>
      </c>
      <c r="C134" s="2">
        <v>0</v>
      </c>
      <c r="H134" s="2" t="s">
        <v>43</v>
      </c>
      <c r="I134" s="2" t="s">
        <v>43</v>
      </c>
      <c r="J134" s="2">
        <f>Tree!$I$250</f>
        <v>7500</v>
      </c>
      <c r="K134" s="2">
        <f>Tree!$I$249</f>
        <v>0.3</v>
      </c>
      <c r="L134" s="2" t="s">
        <v>164</v>
      </c>
      <c r="M134" s="1" t="s">
        <v>44</v>
      </c>
      <c r="P134" s="2" t="b">
        <v>0</v>
      </c>
    </row>
    <row r="135" spans="1:16" x14ac:dyDescent="0.35">
      <c r="A135" s="2">
        <f>Tree!$J$254</f>
        <v>7697.5450000000019</v>
      </c>
      <c r="B135" s="1" t="s">
        <v>76</v>
      </c>
      <c r="C135" s="2">
        <v>0</v>
      </c>
      <c r="H135" s="2" t="s">
        <v>43</v>
      </c>
      <c r="I135" s="2" t="s">
        <v>43</v>
      </c>
      <c r="J135" s="2">
        <f>Tree!$I$254</f>
        <v>2250</v>
      </c>
      <c r="K135" s="2">
        <f>Tree!$I$253</f>
        <v>0.7</v>
      </c>
      <c r="L135" s="2" t="s">
        <v>164</v>
      </c>
      <c r="M135" s="1" t="s">
        <v>44</v>
      </c>
      <c r="P135" s="2" t="b">
        <v>0</v>
      </c>
    </row>
    <row r="136" spans="1:16" x14ac:dyDescent="0.35">
      <c r="A136" s="2">
        <f>Tree!$I$260</f>
        <v>11923.685000000001</v>
      </c>
      <c r="B136" s="1" t="s">
        <v>69</v>
      </c>
      <c r="C136" s="2">
        <v>0</v>
      </c>
      <c r="I136" s="2" t="s">
        <v>43</v>
      </c>
      <c r="J136" s="2">
        <f>Tree!$H$260</f>
        <v>3935.16</v>
      </c>
      <c r="K136" s="2">
        <f>Tree!$H$259</f>
        <v>0.19999999999999996</v>
      </c>
      <c r="L136" s="2" t="s">
        <v>165</v>
      </c>
      <c r="M136" s="1" t="s">
        <v>44</v>
      </c>
      <c r="O136" s="2" t="str">
        <f>Tree!$I$259</f>
        <v>Maintenance Cost</v>
      </c>
      <c r="P136" s="2" t="b">
        <v>0</v>
      </c>
    </row>
    <row r="137" spans="1:16" x14ac:dyDescent="0.35">
      <c r="A137" s="2">
        <f>Tree!$J$258</f>
        <v>15598.685000000001</v>
      </c>
      <c r="B137" s="1" t="s">
        <v>66</v>
      </c>
      <c r="C137" s="2">
        <v>0</v>
      </c>
      <c r="H137" s="2" t="s">
        <v>43</v>
      </c>
      <c r="I137" s="2" t="s">
        <v>43</v>
      </c>
      <c r="J137" s="2">
        <f>Tree!$I$258</f>
        <v>7500</v>
      </c>
      <c r="K137" s="2">
        <f>Tree!$I$257</f>
        <v>0.3</v>
      </c>
      <c r="L137" s="2" t="s">
        <v>166</v>
      </c>
      <c r="M137" s="1" t="s">
        <v>44</v>
      </c>
      <c r="P137" s="2" t="b">
        <v>0</v>
      </c>
    </row>
    <row r="138" spans="1:16" x14ac:dyDescent="0.35">
      <c r="A138" s="2">
        <f>Tree!$J$262</f>
        <v>10348.685000000001</v>
      </c>
      <c r="B138" s="1" t="s">
        <v>76</v>
      </c>
      <c r="C138" s="2">
        <v>0</v>
      </c>
      <c r="H138" s="2" t="s">
        <v>43</v>
      </c>
      <c r="I138" s="2" t="s">
        <v>43</v>
      </c>
      <c r="J138" s="2">
        <f>Tree!$I$262</f>
        <v>2250</v>
      </c>
      <c r="K138" s="2">
        <f>Tree!$I$261</f>
        <v>0.7</v>
      </c>
      <c r="L138" s="2" t="s">
        <v>166</v>
      </c>
      <c r="M138" s="1" t="s">
        <v>44</v>
      </c>
      <c r="P138" s="2" t="b">
        <v>0</v>
      </c>
    </row>
    <row r="139" spans="1:16" x14ac:dyDescent="0.35">
      <c r="A139" s="2">
        <f>Tree!$D$272</f>
        <v>62895.176662500016</v>
      </c>
      <c r="B139" s="1" t="s">
        <v>167</v>
      </c>
      <c r="C139" s="2">
        <v>0</v>
      </c>
      <c r="I139" s="2" t="s">
        <v>43</v>
      </c>
      <c r="J139" s="2">
        <f>Tree!$C$272</f>
        <v>0</v>
      </c>
      <c r="L139" s="2" t="s">
        <v>168</v>
      </c>
      <c r="M139" s="1" t="s">
        <v>44</v>
      </c>
      <c r="O139" s="2" t="str">
        <f>Tree!$D$271</f>
        <v>Rate Fluctuations</v>
      </c>
      <c r="P139" s="2" t="b">
        <v>0</v>
      </c>
    </row>
    <row r="140" spans="1:16" x14ac:dyDescent="0.35">
      <c r="A140" s="2">
        <f>Tree!$E$268</f>
        <v>71880.201900000015</v>
      </c>
      <c r="B140" s="1" t="s">
        <v>169</v>
      </c>
      <c r="C140" s="2">
        <v>0</v>
      </c>
      <c r="I140" s="2" t="s">
        <v>43</v>
      </c>
      <c r="J140" s="2">
        <f>Tree!$D$268</f>
        <v>0</v>
      </c>
      <c r="K140" s="2">
        <f>Tree!$D$267</f>
        <v>0.75</v>
      </c>
      <c r="L140" s="2" t="s">
        <v>170</v>
      </c>
      <c r="M140" s="1" t="s">
        <v>44</v>
      </c>
      <c r="O140" s="2" t="str">
        <f>Tree!$E$267</f>
        <v>Household Consumption (kWh)</v>
      </c>
      <c r="P140" s="2" t="b">
        <v>0</v>
      </c>
    </row>
    <row r="141" spans="1:16" x14ac:dyDescent="0.35">
      <c r="A141" s="2">
        <f>Tree!$F$266</f>
        <v>89965.200000000012</v>
      </c>
      <c r="B141" s="1" t="s">
        <v>60</v>
      </c>
      <c r="C141" s="2">
        <v>0</v>
      </c>
      <c r="H141" s="2" t="s">
        <v>43</v>
      </c>
      <c r="I141" s="2" t="s">
        <v>43</v>
      </c>
      <c r="J141" s="2">
        <f>Tree!$E$266</f>
        <v>89965.200000000012</v>
      </c>
      <c r="K141" s="2">
        <f>Tree!$E$265</f>
        <v>0.54300000000000004</v>
      </c>
      <c r="L141" s="2" t="s">
        <v>171</v>
      </c>
      <c r="M141" s="1" t="s">
        <v>44</v>
      </c>
      <c r="P141" s="2" t="b">
        <v>0</v>
      </c>
    </row>
    <row r="142" spans="1:16" x14ac:dyDescent="0.35">
      <c r="A142" s="2">
        <f>Tree!$F$270</f>
        <v>50391.9</v>
      </c>
      <c r="B142" s="1" t="s">
        <v>172</v>
      </c>
      <c r="C142" s="2">
        <v>0</v>
      </c>
      <c r="H142" s="2" t="s">
        <v>43</v>
      </c>
      <c r="I142" s="2" t="s">
        <v>43</v>
      </c>
      <c r="J142" s="2">
        <f>Tree!$E$270</f>
        <v>50391.9</v>
      </c>
      <c r="K142" s="2">
        <f>Tree!$E$269</f>
        <v>0.45699999999999996</v>
      </c>
      <c r="L142" s="2" t="s">
        <v>171</v>
      </c>
      <c r="M142" s="1" t="s">
        <v>44</v>
      </c>
      <c r="P142" s="2" t="b">
        <v>0</v>
      </c>
    </row>
    <row r="143" spans="1:16" x14ac:dyDescent="0.35">
      <c r="A143" s="2">
        <f>Tree!$E$276</f>
        <v>35940.100950000007</v>
      </c>
      <c r="B143" s="1" t="s">
        <v>173</v>
      </c>
      <c r="C143" s="2">
        <v>0</v>
      </c>
      <c r="I143" s="2" t="s">
        <v>43</v>
      </c>
      <c r="J143" s="2">
        <f>Tree!$D$276</f>
        <v>0</v>
      </c>
      <c r="K143" s="2">
        <f>Tree!$D$275</f>
        <v>0.25</v>
      </c>
      <c r="L143" s="2" t="s">
        <v>174</v>
      </c>
      <c r="M143" s="1" t="s">
        <v>44</v>
      </c>
      <c r="O143" s="2" t="str">
        <f>Tree!$E$275</f>
        <v>Household Consumption (kWh)</v>
      </c>
      <c r="P143" s="2" t="b">
        <v>0</v>
      </c>
    </row>
    <row r="144" spans="1:16" x14ac:dyDescent="0.35">
      <c r="A144" s="2">
        <f>Tree!$F$274</f>
        <v>44982.600000000006</v>
      </c>
      <c r="B144" s="1" t="s">
        <v>60</v>
      </c>
      <c r="C144" s="2">
        <v>0</v>
      </c>
      <c r="H144" s="2" t="s">
        <v>43</v>
      </c>
      <c r="I144" s="2" t="s">
        <v>43</v>
      </c>
      <c r="J144" s="2">
        <f>Tree!$E$274</f>
        <v>44982.600000000006</v>
      </c>
      <c r="K144" s="2">
        <f>Tree!$E$273</f>
        <v>0.54300000000000004</v>
      </c>
      <c r="L144" s="2" t="s">
        <v>175</v>
      </c>
      <c r="M144" s="1" t="s">
        <v>44</v>
      </c>
      <c r="P144" s="2" t="b">
        <v>0</v>
      </c>
    </row>
    <row r="145" spans="1:16" x14ac:dyDescent="0.35">
      <c r="A145" s="2">
        <f>Tree!$F$278</f>
        <v>25195.95</v>
      </c>
      <c r="B145" s="1" t="s">
        <v>172</v>
      </c>
      <c r="C145" s="2">
        <v>0</v>
      </c>
      <c r="H145" s="2" t="s">
        <v>43</v>
      </c>
      <c r="I145" s="2" t="s">
        <v>43</v>
      </c>
      <c r="J145" s="2">
        <f>Tree!$E$278</f>
        <v>25195.95</v>
      </c>
      <c r="K145" s="2">
        <f>Tree!$E$277</f>
        <v>0.45699999999999996</v>
      </c>
      <c r="L145" s="2" t="s">
        <v>175</v>
      </c>
      <c r="M145" s="1" t="s">
        <v>44</v>
      </c>
      <c r="P145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</vt:lpstr>
      <vt:lpstr>Data 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V Nair</dc:creator>
  <cp:lastModifiedBy>Gauri V Nair</cp:lastModifiedBy>
  <dcterms:created xsi:type="dcterms:W3CDTF">2025-04-22T00:07:14Z</dcterms:created>
  <dcterms:modified xsi:type="dcterms:W3CDTF">2025-04-29T01:53:54Z</dcterms:modified>
</cp:coreProperties>
</file>