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eeb833f226042/Bifogade filer/"/>
    </mc:Choice>
  </mc:AlternateContent>
  <xr:revisionPtr revIDLastSave="368" documentId="8_{0998040B-931D-405B-9D92-C7A8D84135EA}" xr6:coauthVersionLast="47" xr6:coauthVersionMax="47" xr10:uidLastSave="{86F57BCA-1BCA-46E1-B934-8341AC2A84B0}"/>
  <bookViews>
    <workbookView xWindow="2535" yWindow="5940" windowWidth="20055" windowHeight="11385" activeTab="1" xr2:uid="{FCEA294A-4ACF-4234-BA0E-D22A7860C650}"/>
  </bookViews>
  <sheets>
    <sheet name="Mall" sheetId="1" r:id="rId1"/>
    <sheet name="Data" sheetId="2" r:id="rId2"/>
  </sheets>
  <definedNames>
    <definedName name="BPI">Data!$E$5</definedName>
    <definedName name="jmfpris_innertak">Data!$Y$2</definedName>
    <definedName name="jmfpris_vagg">Data!$L$2</definedName>
    <definedName name="jmfpris_yttertak">Data!$AG$2</definedName>
    <definedName name="Moms">Data!$F$5</definedName>
    <definedName name="Prishöjningsfaktor_FPI">Data!$D$5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L33" i="1"/>
  <c r="L50" i="1"/>
  <c r="BA5" i="2"/>
  <c r="G31" i="1"/>
  <c r="G25" i="1"/>
  <c r="N6" i="2" l="1"/>
  <c r="L97" i="1"/>
  <c r="E18" i="1"/>
  <c r="AG2" i="2" l="1"/>
  <c r="AJ11" i="2" s="1"/>
  <c r="AI12" i="2" l="1"/>
  <c r="AI11" i="2"/>
  <c r="AI5" i="2"/>
  <c r="AI10" i="2"/>
  <c r="AJ9" i="2"/>
  <c r="AJ10" i="2"/>
  <c r="AI7" i="2"/>
  <c r="AI9" i="2"/>
  <c r="AJ8" i="2"/>
  <c r="AJ7" i="2"/>
  <c r="AI6" i="2"/>
  <c r="AI8" i="2"/>
  <c r="AI15" i="2"/>
  <c r="AJ15" i="2"/>
  <c r="AJ6" i="2"/>
  <c r="AJ13" i="2"/>
  <c r="G28" i="1" s="1"/>
  <c r="AI14" i="2"/>
  <c r="AJ5" i="2"/>
  <c r="AI13" i="2"/>
  <c r="AJ12" i="2"/>
  <c r="AA2" i="2"/>
  <c r="Z2" i="2"/>
  <c r="Y2" i="2"/>
  <c r="L2" i="2"/>
  <c r="L38" i="1"/>
  <c r="G67" i="1"/>
  <c r="L67" i="1" s="1"/>
  <c r="G66" i="1"/>
  <c r="L66" i="1" s="1"/>
  <c r="G65" i="1"/>
  <c r="L65" i="1" s="1"/>
  <c r="G64" i="1"/>
  <c r="L64" i="1" s="1"/>
  <c r="G109" i="1"/>
  <c r="G112" i="1"/>
  <c r="L112" i="1" s="1"/>
  <c r="G111" i="1"/>
  <c r="L111" i="1" s="1"/>
  <c r="G110" i="1"/>
  <c r="L110" i="1" s="1"/>
  <c r="E19" i="1"/>
  <c r="U2" i="2"/>
  <c r="N27" i="1"/>
  <c r="F83" i="1"/>
  <c r="L83" i="1" s="1"/>
  <c r="F82" i="1"/>
  <c r="L82" i="1" s="1"/>
  <c r="L99" i="1"/>
  <c r="L98" i="1"/>
  <c r="AD6" i="2" l="1"/>
  <c r="AD7" i="2"/>
  <c r="AC9" i="2"/>
  <c r="AC10" i="2"/>
  <c r="AC8" i="2"/>
  <c r="AD8" i="2"/>
  <c r="AD9" i="2"/>
  <c r="AC5" i="2"/>
  <c r="G27" i="1" s="1"/>
  <c r="AB10" i="2"/>
  <c r="AD10" i="2"/>
  <c r="AD5" i="2"/>
  <c r="AB9" i="2"/>
  <c r="AC6" i="2"/>
  <c r="AB8" i="2"/>
  <c r="AC7" i="2"/>
  <c r="N17" i="2"/>
  <c r="N13" i="2"/>
  <c r="N22" i="2"/>
  <c r="N30" i="2"/>
  <c r="N14" i="2"/>
  <c r="N23" i="2"/>
  <c r="N5" i="2"/>
  <c r="N15" i="2"/>
  <c r="N7" i="2"/>
  <c r="N24" i="2"/>
  <c r="N8" i="2"/>
  <c r="N16" i="2"/>
  <c r="N25" i="2"/>
  <c r="N18" i="2"/>
  <c r="N26" i="2"/>
  <c r="N9" i="2"/>
  <c r="N10" i="2"/>
  <c r="N19" i="2"/>
  <c r="N27" i="2"/>
  <c r="N12" i="2"/>
  <c r="N11" i="2"/>
  <c r="N20" i="2"/>
  <c r="N28" i="2"/>
  <c r="N21" i="2"/>
  <c r="N29" i="2"/>
  <c r="L109" i="1"/>
  <c r="G45" i="1" l="1"/>
  <c r="L77" i="1"/>
  <c r="L79" i="1"/>
  <c r="L80" i="1"/>
  <c r="L76" i="1"/>
  <c r="L58" i="1" l="1"/>
  <c r="V10" i="2"/>
  <c r="V9" i="2"/>
  <c r="V8" i="2"/>
  <c r="G46" i="1" s="1"/>
  <c r="G47" i="1" s="1"/>
  <c r="L47" i="1" s="1"/>
  <c r="V7" i="2"/>
  <c r="G26" i="1" s="1"/>
  <c r="V6" i="2"/>
  <c r="V5" i="2"/>
  <c r="D5" i="2"/>
  <c r="G29" i="1" l="1"/>
  <c r="L28" i="1" s="1"/>
  <c r="CB7" i="2"/>
  <c r="G106" i="1" s="1"/>
  <c r="L106" i="1" s="1"/>
  <c r="BY5" i="2"/>
  <c r="E89" i="1" s="1"/>
  <c r="L89" i="1" s="1"/>
  <c r="AP5" i="2"/>
  <c r="BD8" i="2"/>
  <c r="BC6" i="2"/>
  <c r="BC14" i="2"/>
  <c r="BB12" i="2"/>
  <c r="BA13" i="2"/>
  <c r="R7" i="2"/>
  <c r="BB6" i="2"/>
  <c r="R5" i="2"/>
  <c r="AL5" i="2"/>
  <c r="CB6" i="2"/>
  <c r="G105" i="1" s="1"/>
  <c r="L105" i="1" s="1"/>
  <c r="BM5" i="2"/>
  <c r="BD9" i="2"/>
  <c r="BC7" i="2"/>
  <c r="BB5" i="2"/>
  <c r="BB13" i="2"/>
  <c r="BA12" i="2"/>
  <c r="R6" i="2"/>
  <c r="BD10" i="2"/>
  <c r="BC8" i="2"/>
  <c r="BB14" i="2"/>
  <c r="BA11" i="2"/>
  <c r="BD12" i="2"/>
  <c r="BC10" i="2"/>
  <c r="BB8" i="2"/>
  <c r="BA9" i="2"/>
  <c r="BY8" i="2"/>
  <c r="E92" i="1" s="1"/>
  <c r="L92" i="1" s="1"/>
  <c r="AT5" i="2"/>
  <c r="BA8" i="2"/>
  <c r="BY7" i="2"/>
  <c r="E91" i="1" s="1"/>
  <c r="L91" i="1" s="1"/>
  <c r="AP7" i="2"/>
  <c r="BY6" i="2"/>
  <c r="E90" i="1" s="1"/>
  <c r="L90" i="1" s="1"/>
  <c r="BA14" i="2"/>
  <c r="CB5" i="2"/>
  <c r="G104" i="1" s="1"/>
  <c r="L104" i="1" s="1"/>
  <c r="BK5" i="2"/>
  <c r="BV5" i="2"/>
  <c r="BD6" i="2"/>
  <c r="BC12" i="2"/>
  <c r="BY10" i="2"/>
  <c r="E94" i="1" s="1"/>
  <c r="L94" i="1" s="1"/>
  <c r="BJ5" i="2"/>
  <c r="F115" i="1" s="1"/>
  <c r="L115" i="1" s="1"/>
  <c r="BD11" i="2"/>
  <c r="BC9" i="2"/>
  <c r="BB7" i="2"/>
  <c r="BA10" i="2"/>
  <c r="BD14" i="2"/>
  <c r="BB10" i="2"/>
  <c r="BA7" i="2"/>
  <c r="BY9" i="2"/>
  <c r="E93" i="1" s="1"/>
  <c r="L93" i="1" s="1"/>
  <c r="AT6" i="2"/>
  <c r="BD5" i="2"/>
  <c r="BD13" i="2"/>
  <c r="BC11" i="2"/>
  <c r="BB9" i="2"/>
  <c r="AP6" i="2"/>
  <c r="BD7" i="2"/>
  <c r="BC5" i="2"/>
  <c r="BC13" i="2"/>
  <c r="BB11" i="2"/>
  <c r="BA6" i="2"/>
  <c r="F70" i="1"/>
  <c r="L70" i="1" s="1"/>
  <c r="F73" i="1"/>
  <c r="L73" i="1" s="1"/>
  <c r="L31" i="1"/>
  <c r="L84" i="1" l="1"/>
  <c r="L116" i="1"/>
  <c r="I115" i="1" s="1"/>
  <c r="L100" i="1"/>
  <c r="I99" i="1" s="1"/>
  <c r="E9" i="1" s="1"/>
  <c r="G53" i="1"/>
  <c r="L53" i="1" s="1"/>
  <c r="G54" i="1"/>
  <c r="L54" i="1" s="1"/>
  <c r="G34" i="1"/>
  <c r="L34" i="1" s="1"/>
  <c r="G55" i="1"/>
  <c r="L55" i="1" s="1"/>
  <c r="G35" i="1"/>
  <c r="L35" i="1" s="1"/>
  <c r="E11" i="1" l="1"/>
  <c r="L59" i="1"/>
  <c r="I58" i="1" s="1"/>
  <c r="L39" i="1"/>
  <c r="I38" i="1" s="1"/>
  <c r="E7" i="1" s="1"/>
  <c r="I83" i="1"/>
  <c r="E8" i="1" s="1"/>
  <c r="E10" i="1" l="1"/>
  <c r="E12" i="1" s="1"/>
</calcChain>
</file>

<file path=xl/sharedStrings.xml><?xml version="1.0" encoding="utf-8"?>
<sst xmlns="http://schemas.openxmlformats.org/spreadsheetml/2006/main" count="466" uniqueCount="261">
  <si>
    <t>Sammanställning</t>
  </si>
  <si>
    <t>Byggnad</t>
  </si>
  <si>
    <t>Byggnadstillbehör</t>
  </si>
  <si>
    <t>Särskilt värderade tillbehör</t>
  </si>
  <si>
    <t>Fönster dekorerat</t>
  </si>
  <si>
    <t>Typ</t>
  </si>
  <si>
    <t>Golv</t>
  </si>
  <si>
    <t xml:space="preserve">Golv </t>
  </si>
  <si>
    <t>Innertak</t>
  </si>
  <si>
    <t>Yttertak</t>
  </si>
  <si>
    <t>Takryttare</t>
  </si>
  <si>
    <t>Antal</t>
  </si>
  <si>
    <t>Vägg</t>
  </si>
  <si>
    <t>Torntak</t>
  </si>
  <si>
    <t>Höjd</t>
  </si>
  <si>
    <t>Fial</t>
  </si>
  <si>
    <t>Klockor</t>
  </si>
  <si>
    <t>Tornur</t>
  </si>
  <si>
    <t>Bänkar</t>
  </si>
  <si>
    <t>Stolar</t>
  </si>
  <si>
    <t>Orgel</t>
  </si>
  <si>
    <t>Altargrund</t>
  </si>
  <si>
    <t>Altare</t>
  </si>
  <si>
    <t>Altaruppstas/skåp</t>
  </si>
  <si>
    <t>Dopfunt</t>
  </si>
  <si>
    <t>Predikstol</t>
  </si>
  <si>
    <t>Ljuskronor</t>
  </si>
  <si>
    <t>Byggnadens utsmyckning</t>
  </si>
  <si>
    <t>FPI</t>
  </si>
  <si>
    <t>BPI</t>
  </si>
  <si>
    <t>Enkel</t>
  </si>
  <si>
    <t>Något påkostad</t>
  </si>
  <si>
    <t>Påkostad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</si>
  <si>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</si>
  <si>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</si>
  <si>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</si>
  <si>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</si>
  <si>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</si>
  <si>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</si>
  <si>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</si>
  <si>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</si>
  <si>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</si>
  <si>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</si>
  <si>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</si>
  <si>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</si>
  <si>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</si>
  <si>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</si>
  <si>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</si>
  <si>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</si>
  <si>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</si>
  <si>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</si>
  <si>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</si>
  <si>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</si>
  <si>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</si>
  <si>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</si>
  <si>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</si>
  <si>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</si>
  <si>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</si>
  <si>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</si>
  <si>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</si>
  <si>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</si>
  <si>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</si>
  <si>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</si>
  <si>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</si>
  <si>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</si>
  <si>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</si>
  <si>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</si>
  <si>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</si>
  <si>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Spån, Panel, Timmer, Panel</t>
  </si>
  <si>
    <t>Rektangulära bitar</t>
  </si>
  <si>
    <t>Geometriska, Ej regtangulära (Typ rosettfönster)</t>
  </si>
  <si>
    <t>Oreglbundna bitar (Figurer och ansikten)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</si>
  <si>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</si>
  <si>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</si>
  <si>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</si>
  <si>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</si>
  <si>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</si>
  <si>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</si>
  <si>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</si>
  <si>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</si>
  <si>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</si>
  <si>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</si>
  <si>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</si>
  <si>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Höjd 0-3 m</t>
  </si>
  <si>
    <t>Höjd 3-6 m</t>
  </si>
  <si>
    <t>Höjd &gt;6m</t>
  </si>
  <si>
    <t>Pris 1980</t>
  </si>
  <si>
    <t>Pris 2019</t>
  </si>
  <si>
    <t>Pris/kvm 1980</t>
  </si>
  <si>
    <t>Pris/kvm 2019</t>
  </si>
  <si>
    <t>Typ 1</t>
  </si>
  <si>
    <t>Typ 2</t>
  </si>
  <si>
    <t>Typ 3</t>
  </si>
  <si>
    <t>0-3m</t>
  </si>
  <si>
    <t>&gt;3m</t>
  </si>
  <si>
    <t>&lt;4m</t>
  </si>
  <si>
    <t>4-12m</t>
  </si>
  <si>
    <t>12-20m</t>
  </si>
  <si>
    <t>&gt;20m</t>
  </si>
  <si>
    <t>1D</t>
  </si>
  <si>
    <t>Index 2019 SCB</t>
  </si>
  <si>
    <t>KPI 2019 (jmf 1980 100)</t>
  </si>
  <si>
    <t>Kyrka</t>
  </si>
  <si>
    <t>Enkla</t>
  </si>
  <si>
    <t>Påkostade</t>
  </si>
  <si>
    <t>Kororgel</t>
  </si>
  <si>
    <t>Läktarorgel</t>
  </si>
  <si>
    <t>Summa</t>
  </si>
  <si>
    <t>Summera Långhus +  Torn</t>
  </si>
  <si>
    <t>Summera tillbehör</t>
  </si>
  <si>
    <t>pris / kg</t>
  </si>
  <si>
    <t>Kläpp</t>
  </si>
  <si>
    <t>+5%</t>
  </si>
  <si>
    <t>Axel</t>
  </si>
  <si>
    <t>+25%</t>
  </si>
  <si>
    <t>+2 stämmor</t>
  </si>
  <si>
    <t>Sittplats</t>
  </si>
  <si>
    <t>Pris/sittplats</t>
  </si>
  <si>
    <t>Pris(1980)/st</t>
  </si>
  <si>
    <t>Pris(2019)/st</t>
  </si>
  <si>
    <t>Pris (2019)/stämma</t>
  </si>
  <si>
    <t>Orgelfasad</t>
  </si>
  <si>
    <t>FPI 1980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</si>
  <si>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</si>
  <si>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</si>
  <si>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</si>
  <si>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</si>
  <si>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</si>
  <si>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Montering 2019</t>
  </si>
  <si>
    <t>Montering 1980</t>
  </si>
  <si>
    <t>Ringanordning 1980</t>
  </si>
  <si>
    <t>Ringanordning 2019</t>
  </si>
  <si>
    <t>Särskiltvärderade (Schablonbelopp)</t>
  </si>
  <si>
    <t>Altaruppsats/Skåp</t>
  </si>
  <si>
    <t>FPI (1968-2019)</t>
  </si>
  <si>
    <t>Annat</t>
  </si>
  <si>
    <t>Jmf pris</t>
  </si>
  <si>
    <t>Dekorerade</t>
  </si>
  <si>
    <t>fönster</t>
  </si>
  <si>
    <t>Byggnadens tillbehör</t>
  </si>
  <si>
    <t>Schablonbelopp justeras vid värdering</t>
  </si>
  <si>
    <t>Höjd m</t>
  </si>
  <si>
    <t>Diameter</t>
  </si>
  <si>
    <t>vikt (kg)</t>
  </si>
  <si>
    <t>Typ/pris</t>
  </si>
  <si>
    <t>Antal klockor</t>
  </si>
  <si>
    <t>Axel=0,25*klockpris</t>
  </si>
  <si>
    <t>klockpris=vikt*400</t>
  </si>
  <si>
    <t>Kläpp=0,05*klockpris</t>
  </si>
  <si>
    <t>Läktare</t>
  </si>
  <si>
    <t>kvm</t>
  </si>
  <si>
    <t>=&gt;</t>
  </si>
  <si>
    <t>kr/kvm</t>
  </si>
  <si>
    <t>Eget värde/Justering</t>
  </si>
  <si>
    <t>Delsumma</t>
  </si>
  <si>
    <t>Pris per urtavla 1980</t>
  </si>
  <si>
    <t>Pris/urtavl</t>
  </si>
  <si>
    <t>Pris/klocka</t>
  </si>
  <si>
    <t>Pris/plats</t>
  </si>
  <si>
    <t>kr/stämma</t>
  </si>
  <si>
    <t>Klockstapel</t>
  </si>
  <si>
    <t>Kloclstapel</t>
  </si>
  <si>
    <t>Pris/m</t>
  </si>
  <si>
    <t>Höjd, m</t>
  </si>
  <si>
    <t>ringanordning</t>
  </si>
  <si>
    <t>Momsfaktor</t>
  </si>
  <si>
    <t>ink momsf</t>
  </si>
  <si>
    <t>Totaltklocka m moms=1,25(klockpris*Axel*Kläpp)</t>
  </si>
  <si>
    <t>---------------------------------------------------------------------------------------------------------</t>
  </si>
  <si>
    <t>+Montering/klocka</t>
  </si>
  <si>
    <t>Bredd m</t>
  </si>
  <si>
    <t>Längd m</t>
  </si>
  <si>
    <t>Tillägg för elektrisk</t>
  </si>
  <si>
    <t>Elektrisk-</t>
  </si>
  <si>
    <t>Konstruktionsfaktor</t>
  </si>
  <si>
    <t>Storleksfaktor</t>
  </si>
  <si>
    <t>Mått tornbyggnad</t>
  </si>
  <si>
    <t>(BRA - Tornnyggnad) * BPI *Byggfaktor</t>
  </si>
  <si>
    <t>Totaltklocka=1,25(klockpris+Axel+Kläpp)</t>
  </si>
  <si>
    <t>Prishöjningsfaktor FPI (1980-2019)</t>
  </si>
  <si>
    <t>Extremt påkostad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</si>
  <si>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</si>
  <si>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</si>
  <si>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</si>
  <si>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</si>
  <si>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</si>
  <si>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</si>
  <si>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</si>
  <si>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</si>
  <si>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</si>
  <si>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</si>
  <si>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</si>
  <si>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</si>
  <si>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</si>
  <si>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</si>
  <si>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</si>
  <si>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</si>
  <si>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</si>
  <si>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</si>
  <si>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</si>
  <si>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</si>
  <si>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</si>
  <si>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</si>
  <si>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</si>
  <si>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</si>
  <si>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</si>
  <si>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</si>
  <si>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</si>
  <si>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</si>
  <si>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</si>
  <si>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</si>
  <si>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</si>
  <si>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</si>
  <si>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</si>
  <si>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</si>
  <si>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</si>
  <si>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</si>
  <si>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</si>
  <si>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</si>
  <si>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</si>
  <si>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</si>
  <si>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</si>
  <si>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</si>
  <si>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</si>
  <si>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</si>
  <si>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</si>
  <si>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</si>
  <si>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</si>
  <si>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</si>
  <si>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</si>
  <si>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</si>
  <si>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</si>
  <si>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</si>
  <si>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</si>
  <si>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</si>
  <si>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</si>
  <si>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</si>
  <si>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</si>
  <si>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</si>
  <si>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</si>
  <si>
    <t>Kalkylvärde kyrkobyggnad</t>
  </si>
  <si>
    <t>Kan bestå av ett el flera skepp inkl vidbyggd sakrisita eller liknande.</t>
  </si>
  <si>
    <t>Byggnadskategori</t>
  </si>
  <si>
    <t>Tegnerlada</t>
  </si>
  <si>
    <t>Katedral</t>
  </si>
  <si>
    <t>Medeltidskyrka</t>
  </si>
  <si>
    <t>Utsmyckning</t>
  </si>
  <si>
    <t>Kategori</t>
  </si>
  <si>
    <t>Torntak adderas på byggnad</t>
  </si>
  <si>
    <t>Salkyrka</t>
  </si>
  <si>
    <t>Hallkyrka</t>
  </si>
  <si>
    <t>Rundkyrka</t>
  </si>
  <si>
    <t>Korskyrka</t>
  </si>
  <si>
    <t>Kapell</t>
  </si>
  <si>
    <t>Byggnadsår</t>
  </si>
  <si>
    <t>Ej specficerat</t>
  </si>
  <si>
    <t>BRA-yta (kvm)</t>
  </si>
  <si>
    <t>Kalkylvärde tornbyggnad och torntak</t>
  </si>
  <si>
    <t>Antal sitt</t>
  </si>
  <si>
    <t>Flackt</t>
  </si>
  <si>
    <t>testkyrka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</si>
</sst>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" fontId="0" fillId="0" borderId="0" xfId="0" applyNumberFormat="1"/>
    <xf numFmtId="164" fontId="0" fillId="0" borderId="0" xfId="0" applyNumberFormat="1"/>
    <xf numFmtId="1" fontId="0" fillId="0" borderId="0" xfId="0" quotePrefix="1" applyNumberFormat="1"/>
    <xf numFmtId="0" fontId="0" fillId="0" borderId="0" xfId="0" applyFill="1"/>
    <xf numFmtId="164" fontId="0" fillId="4" borderId="0" xfId="0" applyNumberFormat="1" applyFill="1"/>
    <xf numFmtId="164" fontId="0" fillId="0" borderId="0" xfId="0" applyNumberFormat="1" applyFill="1"/>
    <xf numFmtId="0" fontId="0" fillId="5" borderId="0" xfId="0" applyFont="1" applyFill="1"/>
    <xf numFmtId="0" fontId="0" fillId="5" borderId="0" xfId="0" applyFill="1"/>
    <xf numFmtId="9" fontId="0" fillId="0" borderId="0" xfId="0" applyNumberFormat="1"/>
    <xf numFmtId="9" fontId="0" fillId="4" borderId="0" xfId="0" applyNumberFormat="1" applyFill="1"/>
    <xf numFmtId="0" fontId="0" fillId="6" borderId="0" xfId="0" applyFill="1"/>
    <xf numFmtId="0" fontId="2" fillId="6" borderId="0" xfId="0" applyFont="1" applyFill="1"/>
    <xf numFmtId="0" fontId="0" fillId="6" borderId="0" xfId="0" quotePrefix="1" applyFill="1"/>
    <xf numFmtId="0" fontId="0" fillId="6" borderId="0" xfId="0" applyFill="1" applyBorder="1"/>
    <xf numFmtId="0" fontId="0" fillId="4" borderId="0" xfId="0" applyFill="1" applyBorder="1"/>
    <xf numFmtId="0" fontId="0" fillId="4" borderId="2" xfId="0" applyFill="1" applyBorder="1"/>
    <xf numFmtId="0" fontId="0" fillId="6" borderId="3" xfId="0" applyFill="1" applyBorder="1"/>
    <xf numFmtId="0" fontId="0" fillId="4" borderId="0" xfId="0" applyFont="1" applyFill="1"/>
    <xf numFmtId="0" fontId="0" fillId="7" borderId="1" xfId="0" applyFill="1" applyBorder="1"/>
    <xf numFmtId="0" fontId="0" fillId="4" borderId="3" xfId="0" applyFill="1" applyBorder="1"/>
    <xf numFmtId="0" fontId="0" fillId="9" borderId="0" xfId="0" applyFill="1"/>
    <xf numFmtId="0" fontId="0" fillId="9" borderId="0" xfId="0" applyFill="1" applyBorder="1"/>
    <xf numFmtId="0" fontId="0" fillId="9" borderId="3" xfId="0" applyFill="1" applyBorder="1"/>
    <xf numFmtId="0" fontId="3" fillId="4" borderId="0" xfId="0" applyFont="1" applyFill="1"/>
    <xf numFmtId="0" fontId="4" fillId="4" borderId="0" xfId="0" applyFont="1" applyFill="1"/>
    <xf numFmtId="0" fontId="4" fillId="6" borderId="0" xfId="0" applyFont="1" applyFill="1"/>
    <xf numFmtId="0" fontId="0" fillId="9" borderId="0" xfId="0" applyFont="1" applyFill="1"/>
    <xf numFmtId="0" fontId="4" fillId="9" borderId="0" xfId="0" applyFont="1" applyFill="1"/>
    <xf numFmtId="1" fontId="1" fillId="0" borderId="0" xfId="0" applyNumberFormat="1" applyFont="1"/>
    <xf numFmtId="1" fontId="0" fillId="0" borderId="3" xfId="0" applyNumberFormat="1" applyBorder="1"/>
    <xf numFmtId="1" fontId="0" fillId="9" borderId="0" xfId="0" applyNumberFormat="1" applyFill="1"/>
    <xf numFmtId="0" fontId="1" fillId="4" borderId="0" xfId="0" applyFont="1" applyFill="1"/>
    <xf numFmtId="0" fontId="1" fillId="9" borderId="0" xfId="0" applyFont="1" applyFill="1"/>
    <xf numFmtId="3" fontId="1" fillId="9" borderId="0" xfId="0" applyNumberFormat="1" applyFont="1" applyFill="1"/>
    <xf numFmtId="3" fontId="1" fillId="4" borderId="0" xfId="0" applyNumberFormat="1" applyFont="1" applyFill="1"/>
    <xf numFmtId="2" fontId="0" fillId="4" borderId="0" xfId="0" applyNumberFormat="1" applyFill="1" applyBorder="1" applyAlignment="1"/>
    <xf numFmtId="0" fontId="0" fillId="10" borderId="0" xfId="0" applyFill="1"/>
    <xf numFmtId="0" fontId="4" fillId="10" borderId="0" xfId="0" applyFont="1" applyFill="1"/>
    <xf numFmtId="0" fontId="0" fillId="10" borderId="0" xfId="0" applyFill="1" applyBorder="1"/>
    <xf numFmtId="0" fontId="0" fillId="10" borderId="3" xfId="0" applyFill="1" applyBorder="1"/>
    <xf numFmtId="0" fontId="1" fillId="10" borderId="0" xfId="0" applyFont="1" applyFill="1"/>
    <xf numFmtId="3" fontId="1" fillId="10" borderId="0" xfId="0" applyNumberFormat="1" applyFont="1" applyFill="1"/>
    <xf numFmtId="3" fontId="6" fillId="10" borderId="0" xfId="0" applyNumberFormat="1" applyFont="1" applyFill="1"/>
    <xf numFmtId="0" fontId="7" fillId="9" borderId="0" xfId="0" applyFont="1" applyFill="1"/>
    <xf numFmtId="1" fontId="7" fillId="9" borderId="0" xfId="0" applyNumberFormat="1" applyFont="1" applyFill="1" applyBorder="1"/>
    <xf numFmtId="1" fontId="7" fillId="9" borderId="0" xfId="0" applyNumberFormat="1" applyFont="1" applyFill="1"/>
    <xf numFmtId="0" fontId="6" fillId="10" borderId="0" xfId="0" applyFont="1" applyFill="1"/>
    <xf numFmtId="1" fontId="6" fillId="10" borderId="0" xfId="0" applyNumberFormat="1" applyFont="1" applyFill="1" applyBorder="1"/>
    <xf numFmtId="0" fontId="7" fillId="9" borderId="0" xfId="0" quotePrefix="1" applyFont="1" applyFill="1"/>
    <xf numFmtId="0" fontId="0" fillId="7" borderId="4" xfId="0" applyFill="1" applyBorder="1"/>
    <xf numFmtId="1" fontId="8" fillId="4" borderId="0" xfId="0" applyNumberFormat="1" applyFont="1" applyFill="1"/>
    <xf numFmtId="0" fontId="8" fillId="4" borderId="0" xfId="0" applyFont="1" applyFill="1"/>
    <xf numFmtId="0" fontId="8" fillId="4" borderId="0" xfId="0" quotePrefix="1" applyFont="1" applyFill="1" applyAlignment="1">
      <alignment horizontal="center"/>
    </xf>
    <xf numFmtId="0" fontId="10" fillId="6" borderId="0" xfId="0" applyFont="1" applyFill="1"/>
    <xf numFmtId="0" fontId="8" fillId="4" borderId="0" xfId="0" quotePrefix="1" applyFont="1" applyFill="1"/>
    <xf numFmtId="0" fontId="11" fillId="9" borderId="0" xfId="0" quotePrefix="1" applyFont="1" applyFill="1"/>
    <xf numFmtId="0" fontId="12" fillId="10" borderId="0" xfId="0" quotePrefix="1" applyFont="1" applyFill="1"/>
    <xf numFmtId="2" fontId="9" fillId="4" borderId="6" xfId="0" applyNumberFormat="1" applyFont="1" applyFill="1" applyBorder="1" applyAlignment="1"/>
    <xf numFmtId="2" fontId="0" fillId="4" borderId="6" xfId="0" applyNumberFormat="1" applyFill="1" applyBorder="1"/>
    <xf numFmtId="0" fontId="6" fillId="10" borderId="0" xfId="0" quotePrefix="1" applyFont="1" applyFill="1"/>
    <xf numFmtId="0" fontId="13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2" fontId="0" fillId="4" borderId="0" xfId="0" applyNumberFormat="1" applyFill="1" applyBorder="1"/>
    <xf numFmtId="0" fontId="0" fillId="7" borderId="8" xfId="0" applyFill="1" applyBorder="1"/>
    <xf numFmtId="0" fontId="8" fillId="4" borderId="9" xfId="0" quotePrefix="1" applyFont="1" applyFill="1" applyBorder="1" applyAlignment="1">
      <alignment horizontal="center"/>
    </xf>
    <xf numFmtId="1" fontId="0" fillId="0" borderId="0" xfId="0" applyNumberFormat="1" applyFont="1"/>
    <xf numFmtId="0" fontId="0" fillId="7" borderId="10" xfId="0" applyFill="1" applyBorder="1"/>
    <xf numFmtId="164" fontId="8" fillId="4" borderId="7" xfId="0" applyNumberFormat="1" applyFont="1" applyFill="1" applyBorder="1"/>
    <xf numFmtId="0" fontId="14" fillId="4" borderId="0" xfId="0" applyFont="1" applyFill="1"/>
    <xf numFmtId="164" fontId="0" fillId="7" borderId="8" xfId="0" applyNumberFormat="1" applyFill="1" applyBorder="1"/>
    <xf numFmtId="1" fontId="0" fillId="5" borderId="0" xfId="0" applyNumberFormat="1" applyFill="1"/>
    <xf numFmtId="0" fontId="0" fillId="11" borderId="0" xfId="0" applyFill="1"/>
    <xf numFmtId="1" fontId="0" fillId="11" borderId="0" xfId="0" applyNumberFormat="1" applyFill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3" fontId="0" fillId="11" borderId="0" xfId="0" applyNumberFormat="1" applyFill="1"/>
    <xf numFmtId="1" fontId="0" fillId="11" borderId="0" xfId="0" quotePrefix="1" applyNumberFormat="1" applyFill="1"/>
    <xf numFmtId="3" fontId="0" fillId="7" borderId="1" xfId="0" applyNumberFormat="1" applyFill="1" applyBorder="1"/>
    <xf numFmtId="3" fontId="7" fillId="9" borderId="5" xfId="0" applyNumberFormat="1" applyFont="1" applyFill="1" applyBorder="1"/>
    <xf numFmtId="0" fontId="14" fillId="4" borderId="0" xfId="0" applyFont="1" applyFill="1" applyAlignment="1">
      <alignment horizontal="center"/>
    </xf>
    <xf numFmtId="9" fontId="14" fillId="4" borderId="0" xfId="0" applyNumberFormat="1" applyFont="1" applyFill="1" applyAlignment="1">
      <alignment horizontal="center"/>
    </xf>
    <xf numFmtId="3" fontId="10" fillId="8" borderId="0" xfId="0" applyNumberFormat="1" applyFont="1" applyFill="1"/>
    <xf numFmtId="3" fontId="0" fillId="6" borderId="3" xfId="0" applyNumberFormat="1" applyFill="1" applyBorder="1"/>
    <xf numFmtId="0" fontId="2" fillId="7" borderId="1" xfId="0" applyFont="1" applyFill="1" applyBorder="1"/>
    <xf numFmtId="3" fontId="0" fillId="6" borderId="0" xfId="0" applyNumberFormat="1" applyFill="1"/>
    <xf numFmtId="3" fontId="0" fillId="6" borderId="0" xfId="0" applyNumberFormat="1" applyFill="1" applyBorder="1"/>
    <xf numFmtId="0" fontId="0" fillId="7" borderId="0" xfId="0" applyFill="1"/>
    <xf numFmtId="0" fontId="1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E5B6-1EE6-40BC-85FC-30B098F2E93F}">
  <dimension ref="A1:W117"/>
  <sheetViews>
    <sheetView topLeftCell="A22" zoomScale="110" zoomScaleNormal="110" workbookViewId="0">
      <selection activeCell="G33" sqref="G33"/>
    </sheetView>
  </sheetViews>
  <sheetFormatPr defaultRowHeight="15" x14ac:dyDescent="0.25"/>
  <cols>
    <col min="2" max="2" width="14.28515625" customWidth="1"/>
    <col min="3" max="3" width="4.42578125" customWidth="1"/>
    <col min="4" max="4" width="34" customWidth="1"/>
    <col min="5" max="5" width="13.28515625" customWidth="1"/>
    <col min="7" max="7" width="9.85546875" bestFit="1" customWidth="1"/>
    <col min="8" max="8" width="10" bestFit="1" customWidth="1"/>
    <col min="9" max="9" width="11.85546875" customWidth="1"/>
    <col min="10" max="10" width="8.140625" customWidth="1"/>
    <col min="12" max="12" width="21.140625" style="11" bestFit="1" customWidth="1"/>
    <col min="14" max="14" width="24.5703125" customWidth="1"/>
    <col min="15" max="15" width="34.7109375" bestFit="1" customWidth="1"/>
    <col min="16" max="16" width="12.85546875" customWidth="1"/>
    <col min="17" max="17" width="8.5703125" customWidth="1"/>
    <col min="18" max="18" width="37.85546875" customWidth="1"/>
    <col min="19" max="19" width="7.85546875" customWidth="1"/>
    <col min="21" max="21" width="6.5703125" customWidth="1"/>
    <col min="22" max="22" width="44.42578125" customWidth="1"/>
    <col min="23" max="24" width="13.42578125" bestFit="1" customWidth="1"/>
    <col min="26" max="26" width="24.42578125" bestFit="1" customWidth="1"/>
    <col min="27" max="27" width="9" customWidth="1"/>
    <col min="29" max="29" width="6.140625" customWidth="1"/>
    <col min="30" max="30" width="19.42578125" bestFit="1" customWidth="1"/>
    <col min="33" max="33" width="9.140625" bestFit="1" customWidth="1"/>
    <col min="34" max="36" width="9.140625" customWidth="1"/>
    <col min="38" max="38" width="32" bestFit="1" customWidth="1"/>
    <col min="39" max="39" width="11.28515625" bestFit="1" customWidth="1"/>
    <col min="40" max="40" width="10.85546875" bestFit="1" customWidth="1"/>
    <col min="42" max="42" width="10.85546875" bestFit="1" customWidth="1"/>
    <col min="43" max="43" width="11.5703125" customWidth="1"/>
    <col min="44" max="44" width="12.5703125" customWidth="1"/>
    <col min="52" max="52" width="27.5703125" bestFit="1" customWidth="1"/>
  </cols>
  <sheetData>
    <row r="1" spans="1:14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4" ht="23.25" x14ac:dyDescent="0.35">
      <c r="A3" s="21"/>
      <c r="B3" s="36" t="s">
        <v>102</v>
      </c>
      <c r="C3" s="22"/>
      <c r="D3" s="95" t="s">
        <v>260</v>
      </c>
      <c r="E3" s="95"/>
      <c r="F3" s="95"/>
      <c r="G3" s="95"/>
      <c r="H3" s="21"/>
      <c r="I3" s="21"/>
      <c r="J3" s="21"/>
      <c r="K3" s="21"/>
    </row>
    <row r="4" spans="1:14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4" ht="23.25" x14ac:dyDescent="0.35">
      <c r="A5" s="21"/>
      <c r="B5" s="36" t="s">
        <v>0</v>
      </c>
      <c r="C5" s="21"/>
      <c r="D5" s="21"/>
      <c r="E5" s="21"/>
      <c r="F5" s="21"/>
      <c r="G5" s="21"/>
      <c r="H5" s="21"/>
      <c r="I5" s="21"/>
      <c r="J5" s="21"/>
      <c r="K5" s="21"/>
    </row>
    <row r="6" spans="1:14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4" x14ac:dyDescent="0.25">
      <c r="A7" s="21"/>
      <c r="B7" s="21" t="s">
        <v>1</v>
      </c>
      <c r="C7" s="21"/>
      <c r="D7" s="21"/>
      <c r="E7" s="96">
        <f>(I38+I58)*(E18*0+1)</f>
        <v>2083265.125</v>
      </c>
      <c r="F7" s="96"/>
      <c r="G7" s="24"/>
      <c r="H7" s="24"/>
      <c r="I7" s="21"/>
      <c r="J7" s="21"/>
      <c r="K7" s="21"/>
      <c r="N7" t="s">
        <v>108</v>
      </c>
    </row>
    <row r="8" spans="1:14" x14ac:dyDescent="0.25">
      <c r="A8" s="21"/>
      <c r="B8" s="21" t="s">
        <v>2</v>
      </c>
      <c r="C8" s="21"/>
      <c r="D8" s="21"/>
      <c r="E8" s="96">
        <f>I83</f>
        <v>6938320</v>
      </c>
      <c r="F8" s="96"/>
      <c r="G8" s="24"/>
      <c r="H8" s="24"/>
      <c r="I8" s="23"/>
      <c r="J8" s="23"/>
      <c r="K8" s="21"/>
      <c r="N8" t="s">
        <v>109</v>
      </c>
    </row>
    <row r="9" spans="1:14" x14ac:dyDescent="0.25">
      <c r="A9" s="21"/>
      <c r="B9" s="21" t="s">
        <v>3</v>
      </c>
      <c r="C9" s="21"/>
      <c r="D9" s="21"/>
      <c r="E9" s="96">
        <f>I99</f>
        <v>7084734</v>
      </c>
      <c r="F9" s="96"/>
      <c r="G9" s="24"/>
      <c r="H9" s="24"/>
      <c r="I9" s="23"/>
      <c r="J9" s="23"/>
      <c r="K9" s="21"/>
    </row>
    <row r="10" spans="1:14" x14ac:dyDescent="0.25">
      <c r="A10" s="21"/>
      <c r="B10" s="21" t="s">
        <v>27</v>
      </c>
      <c r="C10" s="21"/>
      <c r="D10" s="21"/>
      <c r="E10" s="97">
        <f>E7*E19*0</f>
        <v>0</v>
      </c>
      <c r="F10" s="97"/>
      <c r="G10" s="24"/>
      <c r="H10" s="24"/>
      <c r="I10" s="21"/>
      <c r="J10" s="21"/>
      <c r="K10" s="21"/>
    </row>
    <row r="11" spans="1:14" ht="15.75" thickBot="1" x14ac:dyDescent="0.3">
      <c r="A11" s="21"/>
      <c r="B11" s="21" t="s">
        <v>160</v>
      </c>
      <c r="C11" s="21"/>
      <c r="D11" s="21"/>
      <c r="E11" s="94">
        <f>L116</f>
        <v>1509230.75</v>
      </c>
      <c r="F11" s="94"/>
      <c r="G11" s="24"/>
      <c r="H11" s="24"/>
      <c r="I11" s="21"/>
      <c r="J11" s="21"/>
      <c r="K11" s="21"/>
    </row>
    <row r="12" spans="1:14" ht="18.75" x14ac:dyDescent="0.3">
      <c r="A12" s="21"/>
      <c r="B12" s="64" t="s">
        <v>107</v>
      </c>
      <c r="C12" s="64"/>
      <c r="D12" s="64"/>
      <c r="E12" s="93">
        <f>E7+E8+E9+E10+E11</f>
        <v>17615549.875</v>
      </c>
      <c r="F12" s="93"/>
      <c r="G12" s="24"/>
      <c r="H12" s="24"/>
      <c r="I12" s="21"/>
      <c r="J12" s="21"/>
      <c r="K12" s="21"/>
    </row>
    <row r="13" spans="1:14" ht="15.75" thickBot="1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4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4" ht="23.25" x14ac:dyDescent="0.35">
      <c r="A15" s="8"/>
      <c r="B15" s="35" t="s">
        <v>1</v>
      </c>
      <c r="C15" s="8"/>
      <c r="D15" s="8"/>
      <c r="E15" s="8"/>
      <c r="F15" s="8"/>
      <c r="G15" s="8"/>
      <c r="H15" s="8"/>
      <c r="I15" s="8"/>
      <c r="J15" s="8"/>
      <c r="K15" s="8"/>
    </row>
    <row r="16" spans="1:14" x14ac:dyDescent="0.25">
      <c r="A16" s="8"/>
      <c r="B16" s="28"/>
      <c r="C16" s="8"/>
      <c r="D16" s="8"/>
      <c r="E16" s="8"/>
      <c r="F16" s="8"/>
      <c r="G16" s="8"/>
      <c r="H16" s="8"/>
      <c r="I16" s="8"/>
      <c r="J16" s="8"/>
      <c r="K16" s="8"/>
    </row>
    <row r="17" spans="1:14" x14ac:dyDescent="0.25">
      <c r="A17" s="8"/>
      <c r="B17" s="8" t="s">
        <v>256</v>
      </c>
      <c r="C17" s="8"/>
      <c r="D17" s="29"/>
      <c r="E17" s="8"/>
      <c r="F17" s="8"/>
      <c r="G17" s="72" t="s">
        <v>175</v>
      </c>
      <c r="H17" s="73"/>
      <c r="I17" s="8"/>
      <c r="J17" s="8"/>
      <c r="K17" s="8"/>
    </row>
    <row r="18" spans="1:14" x14ac:dyDescent="0.25">
      <c r="A18" s="8"/>
      <c r="B18" s="8" t="s">
        <v>247</v>
      </c>
      <c r="C18" s="8"/>
      <c r="D18" s="29" t="s">
        <v>243</v>
      </c>
      <c r="E18" s="91">
        <f>VLOOKUP(D18,Data!CC5:CD13,2,0)</f>
        <v>1</v>
      </c>
      <c r="F18" s="8"/>
      <c r="G18" s="8"/>
      <c r="H18" s="8"/>
      <c r="I18" s="8"/>
      <c r="J18" s="8"/>
      <c r="K18" s="8"/>
    </row>
    <row r="19" spans="1:14" x14ac:dyDescent="0.25">
      <c r="A19" s="8"/>
      <c r="B19" s="8" t="s">
        <v>246</v>
      </c>
      <c r="C19" s="8"/>
      <c r="D19" s="29" t="s">
        <v>31</v>
      </c>
      <c r="E19" s="92">
        <f>VLOOKUP(D19,Data!G5:H8,2,0)</f>
        <v>0.5</v>
      </c>
      <c r="F19" s="8"/>
      <c r="G19" s="72"/>
      <c r="H19" s="73"/>
      <c r="I19" s="8"/>
      <c r="J19" s="8"/>
      <c r="K19" s="8"/>
    </row>
    <row r="20" spans="1:14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4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4" ht="21" x14ac:dyDescent="0.35">
      <c r="A22" s="8"/>
      <c r="B22" s="34" t="s">
        <v>240</v>
      </c>
      <c r="C22" s="8"/>
      <c r="D22" s="8"/>
      <c r="E22" s="8"/>
      <c r="F22" s="8"/>
      <c r="G22" s="8"/>
      <c r="H22" s="8"/>
      <c r="I22" s="8"/>
      <c r="J22" s="8"/>
      <c r="K22" s="8"/>
    </row>
    <row r="23" spans="1:14" x14ac:dyDescent="0.25">
      <c r="A23" s="8"/>
      <c r="B23" s="71" t="s">
        <v>241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4" x14ac:dyDescent="0.25">
      <c r="A24" s="8"/>
      <c r="B24" s="8"/>
      <c r="C24" s="8"/>
      <c r="D24" s="8" t="s">
        <v>5</v>
      </c>
      <c r="E24" s="8"/>
      <c r="F24" s="8"/>
      <c r="G24" s="8"/>
      <c r="H24" s="8"/>
      <c r="I24" s="8"/>
      <c r="J24" s="8"/>
      <c r="K24" s="8"/>
    </row>
    <row r="25" spans="1:14" x14ac:dyDescent="0.25">
      <c r="A25" s="8"/>
      <c r="B25" s="8" t="s">
        <v>12</v>
      </c>
      <c r="C25" s="8"/>
      <c r="D25" s="29" t="s">
        <v>194</v>
      </c>
      <c r="E25" s="8"/>
      <c r="F25" s="63" t="s">
        <v>151</v>
      </c>
      <c r="G25" s="79">
        <f>VLOOKUP(D25,Data!$K$5:$N$30,4,0)</f>
        <v>1.1164864864864865</v>
      </c>
      <c r="H25" s="8"/>
      <c r="I25" s="8"/>
      <c r="J25" s="8"/>
      <c r="K25" s="8"/>
      <c r="N25" s="18" t="s">
        <v>73</v>
      </c>
    </row>
    <row r="26" spans="1:14" x14ac:dyDescent="0.25">
      <c r="A26" s="8"/>
      <c r="B26" s="8" t="s">
        <v>7</v>
      </c>
      <c r="C26" s="8"/>
      <c r="D26" s="29" t="s">
        <v>210</v>
      </c>
      <c r="E26" s="8"/>
      <c r="F26" s="63" t="s">
        <v>151</v>
      </c>
      <c r="G26" s="79">
        <f>VLOOKUP(D26,Data!T5:V10,3,0)</f>
        <v>1.1232142857142857</v>
      </c>
      <c r="H26" s="8"/>
      <c r="I26" s="8"/>
      <c r="J26" s="8"/>
      <c r="K26" s="8"/>
      <c r="N26" s="18" t="s">
        <v>74</v>
      </c>
    </row>
    <row r="27" spans="1:14" x14ac:dyDescent="0.25">
      <c r="A27" s="8"/>
      <c r="B27" s="8" t="s">
        <v>8</v>
      </c>
      <c r="C27" s="8"/>
      <c r="D27" s="29" t="s">
        <v>218</v>
      </c>
      <c r="E27" s="85" t="s">
        <v>73</v>
      </c>
      <c r="F27" s="63" t="s">
        <v>151</v>
      </c>
      <c r="G27" s="79">
        <f>VLOOKUP(D27,Data!X5:AD10,HLOOKUP(E27,Data!AB4:AD11,8,0),0)</f>
        <v>1.1225000000000001</v>
      </c>
      <c r="H27" s="8"/>
      <c r="I27" s="8"/>
      <c r="J27" s="8"/>
      <c r="K27" s="8"/>
      <c r="N27" s="18" t="str">
        <f>IF(LEFT($D$27,5)="Panel","Plant","")</f>
        <v/>
      </c>
    </row>
    <row r="28" spans="1:14" x14ac:dyDescent="0.25">
      <c r="A28" s="8"/>
      <c r="B28" s="8" t="s">
        <v>9</v>
      </c>
      <c r="C28" s="8"/>
      <c r="D28" s="29" t="s">
        <v>219</v>
      </c>
      <c r="E28" s="86" t="s">
        <v>259</v>
      </c>
      <c r="F28" s="63" t="s">
        <v>151</v>
      </c>
      <c r="G28" s="79">
        <f>VLOOKUP(D28,Data!AF5:AJ15,IF(E28="Brant",5,4),0)</f>
        <v>1.1100000000000001</v>
      </c>
      <c r="H28" s="8"/>
      <c r="I28" s="8"/>
      <c r="J28" s="8"/>
      <c r="K28" s="8"/>
      <c r="L28" s="11">
        <f>(D17-(D44*E44))*BPI*G29</f>
        <v>0</v>
      </c>
      <c r="N28" t="s">
        <v>177</v>
      </c>
    </row>
    <row r="29" spans="1:14" x14ac:dyDescent="0.25">
      <c r="A29" s="8"/>
      <c r="B29" s="8" t="s">
        <v>174</v>
      </c>
      <c r="C29" s="8"/>
      <c r="D29" s="25"/>
      <c r="E29" s="25"/>
      <c r="F29" s="8"/>
      <c r="G29" s="68">
        <f>G25*G26*G27*G28</f>
        <v>1.5625193986607147</v>
      </c>
      <c r="H29" s="8"/>
      <c r="I29" s="8"/>
      <c r="J29" s="8"/>
      <c r="K29" s="8"/>
      <c r="N29" s="14" t="s">
        <v>248</v>
      </c>
    </row>
    <row r="30" spans="1:14" x14ac:dyDescent="0.25">
      <c r="A30" s="8"/>
      <c r="B30" s="65" t="s">
        <v>168</v>
      </c>
      <c r="C30" s="8"/>
      <c r="D30" s="25"/>
      <c r="E30" s="25"/>
      <c r="F30" s="8"/>
      <c r="G30" s="46"/>
      <c r="H30" s="8"/>
      <c r="I30" s="8"/>
      <c r="J30" s="8"/>
      <c r="K30" s="8"/>
      <c r="N30" s="14"/>
    </row>
    <row r="31" spans="1:14" x14ac:dyDescent="0.25">
      <c r="A31" s="8"/>
      <c r="B31" s="8" t="s">
        <v>149</v>
      </c>
      <c r="C31" s="8"/>
      <c r="D31" s="29"/>
      <c r="E31" s="25" t="s">
        <v>150</v>
      </c>
      <c r="F31" s="8"/>
      <c r="G31" s="61">
        <f>Data!AL5</f>
        <v>5165.2500000000009</v>
      </c>
      <c r="H31" s="62" t="s">
        <v>152</v>
      </c>
      <c r="I31" s="8"/>
      <c r="J31" s="8"/>
      <c r="K31" s="8"/>
      <c r="L31" s="11">
        <f>D31*G31</f>
        <v>0</v>
      </c>
    </row>
    <row r="32" spans="1:14" x14ac:dyDescent="0.25">
      <c r="A32" s="8"/>
      <c r="B32" s="65" t="s">
        <v>168</v>
      </c>
      <c r="C32" s="8"/>
      <c r="D32" s="8"/>
      <c r="E32" s="8"/>
      <c r="F32" s="8"/>
      <c r="G32" s="8"/>
      <c r="H32" s="8"/>
      <c r="I32" s="8"/>
      <c r="J32" s="8"/>
      <c r="K32" s="8"/>
    </row>
    <row r="33" spans="1:12" x14ac:dyDescent="0.25">
      <c r="A33" s="8"/>
      <c r="B33" s="8" t="s">
        <v>137</v>
      </c>
      <c r="C33" s="8"/>
      <c r="D33" s="8" t="s">
        <v>90</v>
      </c>
      <c r="E33" s="29">
        <v>13</v>
      </c>
      <c r="F33" s="8" t="s">
        <v>150</v>
      </c>
      <c r="G33" s="61">
        <f>Data!R5</f>
        <v>18078.375</v>
      </c>
      <c r="H33" s="62" t="s">
        <v>152</v>
      </c>
      <c r="I33" s="8"/>
      <c r="J33" s="8"/>
      <c r="K33" s="8"/>
      <c r="L33" s="11">
        <f>E33*G33</f>
        <v>235018.875</v>
      </c>
    </row>
    <row r="34" spans="1:12" x14ac:dyDescent="0.25">
      <c r="A34" s="8"/>
      <c r="B34" s="8" t="s">
        <v>138</v>
      </c>
      <c r="C34" s="8"/>
      <c r="D34" s="8" t="s">
        <v>91</v>
      </c>
      <c r="E34" s="29"/>
      <c r="F34" s="8" t="s">
        <v>150</v>
      </c>
      <c r="G34" s="61">
        <f>Data!R6</f>
        <v>49930.750000000007</v>
      </c>
      <c r="H34" s="62" t="s">
        <v>152</v>
      </c>
      <c r="I34" s="8"/>
      <c r="J34" s="8"/>
      <c r="K34" s="8"/>
      <c r="L34" s="11">
        <f t="shared" ref="L34:L35" si="0">E34*G34</f>
        <v>0</v>
      </c>
    </row>
    <row r="35" spans="1:12" x14ac:dyDescent="0.25">
      <c r="A35" s="8"/>
      <c r="B35" s="8"/>
      <c r="C35" s="8"/>
      <c r="D35" s="8" t="s">
        <v>92</v>
      </c>
      <c r="E35" s="29"/>
      <c r="F35" s="8" t="s">
        <v>150</v>
      </c>
      <c r="G35" s="61">
        <f>Data!R7</f>
        <v>86087.5</v>
      </c>
      <c r="H35" s="62" t="s">
        <v>152</v>
      </c>
      <c r="I35" s="8"/>
      <c r="J35" s="8"/>
      <c r="K35" s="8"/>
      <c r="L35" s="11">
        <f t="shared" si="0"/>
        <v>0</v>
      </c>
    </row>
    <row r="36" spans="1:12" x14ac:dyDescent="0.25">
      <c r="A36" s="8"/>
      <c r="B36" s="65" t="s">
        <v>168</v>
      </c>
      <c r="C36" s="8"/>
      <c r="D36" s="8"/>
      <c r="E36" s="8"/>
      <c r="F36" s="8"/>
      <c r="G36" s="8"/>
      <c r="H36" s="8"/>
      <c r="I36" s="8"/>
      <c r="J36" s="8"/>
      <c r="K36" s="8"/>
    </row>
    <row r="37" spans="1:12" x14ac:dyDescent="0.25">
      <c r="A37" s="8"/>
      <c r="B37" s="8"/>
      <c r="C37" s="8"/>
      <c r="D37" s="8" t="s">
        <v>144</v>
      </c>
      <c r="E37" s="8" t="s">
        <v>11</v>
      </c>
      <c r="F37" s="8"/>
      <c r="G37" s="8"/>
      <c r="H37" s="8"/>
      <c r="I37" s="8"/>
      <c r="J37" s="8"/>
      <c r="K37" s="8"/>
    </row>
    <row r="38" spans="1:12" ht="15.75" thickBot="1" x14ac:dyDescent="0.3">
      <c r="A38" s="8"/>
      <c r="B38" s="8" t="s">
        <v>10</v>
      </c>
      <c r="C38" s="8"/>
      <c r="D38" s="89"/>
      <c r="E38" s="29"/>
      <c r="F38" s="8"/>
      <c r="G38" s="8"/>
      <c r="H38" s="42" t="s">
        <v>154</v>
      </c>
      <c r="I38" s="45">
        <f>L39</f>
        <v>235018.875</v>
      </c>
      <c r="J38" s="45"/>
      <c r="K38" s="8"/>
      <c r="L38" s="40">
        <f>D38*E38</f>
        <v>0</v>
      </c>
    </row>
    <row r="39" spans="1:1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1">
        <f>SUM(L28:L38)</f>
        <v>235018.875</v>
      </c>
    </row>
    <row r="40" spans="1:12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2" ht="21" x14ac:dyDescent="0.35">
      <c r="A42" s="8"/>
      <c r="B42" s="34" t="s">
        <v>257</v>
      </c>
      <c r="C42" s="8"/>
      <c r="D42" s="8"/>
      <c r="E42" s="8"/>
      <c r="F42" s="8"/>
      <c r="G42" s="8"/>
      <c r="H42" s="8"/>
      <c r="I42" s="8"/>
      <c r="J42" s="8"/>
      <c r="K42" s="8"/>
    </row>
    <row r="43" spans="1:12" x14ac:dyDescent="0.25">
      <c r="A43" s="8"/>
      <c r="B43" s="8"/>
      <c r="C43" s="8"/>
      <c r="D43" s="8" t="s">
        <v>170</v>
      </c>
      <c r="E43" s="8" t="s">
        <v>171</v>
      </c>
      <c r="F43" s="8"/>
      <c r="G43" s="8"/>
      <c r="H43" s="8"/>
      <c r="I43" s="8"/>
      <c r="J43" s="8"/>
      <c r="K43" s="8"/>
    </row>
    <row r="44" spans="1:12" x14ac:dyDescent="0.25">
      <c r="A44" s="8"/>
      <c r="B44" s="8" t="s">
        <v>176</v>
      </c>
      <c r="C44" s="8"/>
      <c r="D44" s="75"/>
      <c r="E44" s="75"/>
      <c r="F44" s="25"/>
      <c r="G44" s="25"/>
      <c r="H44" s="8"/>
      <c r="I44" s="8"/>
      <c r="J44" s="8"/>
      <c r="K44" s="8"/>
    </row>
    <row r="45" spans="1:12" x14ac:dyDescent="0.25">
      <c r="A45" s="8"/>
      <c r="B45" s="8" t="s">
        <v>12</v>
      </c>
      <c r="C45" s="8"/>
      <c r="D45" s="29" t="s">
        <v>189</v>
      </c>
      <c r="E45" s="8"/>
      <c r="F45" s="76" t="s">
        <v>151</v>
      </c>
      <c r="G45" s="79">
        <f>VLOOKUP(D45,Data!$K$5:$N$30,4,0)</f>
        <v>1.1145945945945948</v>
      </c>
      <c r="H45" s="8"/>
      <c r="I45" s="8"/>
      <c r="J45" s="8"/>
      <c r="K45" s="8"/>
    </row>
    <row r="46" spans="1:12" x14ac:dyDescent="0.25">
      <c r="A46" s="8"/>
      <c r="B46" s="8" t="s">
        <v>6</v>
      </c>
      <c r="C46" s="8"/>
      <c r="D46" s="29" t="s">
        <v>211</v>
      </c>
      <c r="E46" s="8"/>
      <c r="F46" s="63" t="s">
        <v>151</v>
      </c>
      <c r="G46" s="79">
        <f>VLOOKUP(D46,Data!T5:V10,3,0)</f>
        <v>1.1157142857142859</v>
      </c>
      <c r="H46" s="8"/>
      <c r="I46" s="8"/>
      <c r="J46" s="8"/>
      <c r="K46" s="8"/>
    </row>
    <row r="47" spans="1:12" x14ac:dyDescent="0.25">
      <c r="A47" s="8"/>
      <c r="B47" s="8" t="s">
        <v>174</v>
      </c>
      <c r="C47" s="8"/>
      <c r="D47" s="8"/>
      <c r="E47" s="8"/>
      <c r="F47" s="8"/>
      <c r="G47" s="69">
        <f>G45*G46</f>
        <v>1.2435691119691124</v>
      </c>
      <c r="H47" s="8"/>
      <c r="I47" s="8"/>
      <c r="J47" s="8"/>
      <c r="K47" s="8"/>
      <c r="L47" s="77">
        <f>D44*E44*G47*Data!E5</f>
        <v>0</v>
      </c>
    </row>
    <row r="48" spans="1:12" x14ac:dyDescent="0.25">
      <c r="A48" s="8"/>
      <c r="B48" s="8"/>
      <c r="C48" s="8"/>
      <c r="D48" s="8"/>
      <c r="E48" s="8"/>
      <c r="F48" s="74"/>
      <c r="G48" s="8"/>
      <c r="H48" s="8"/>
      <c r="I48" s="8"/>
      <c r="J48" s="8"/>
      <c r="K48" s="8"/>
      <c r="L48" s="39"/>
    </row>
    <row r="49" spans="1:23" x14ac:dyDescent="0.25">
      <c r="A49" s="8"/>
      <c r="B49" s="8"/>
      <c r="C49" s="8"/>
      <c r="D49" s="8" t="s">
        <v>5</v>
      </c>
      <c r="E49" s="8"/>
      <c r="F49" s="8" t="s">
        <v>141</v>
      </c>
      <c r="G49" s="8" t="s">
        <v>76</v>
      </c>
      <c r="H49" s="8" t="s">
        <v>170</v>
      </c>
      <c r="I49" s="8" t="s">
        <v>171</v>
      </c>
      <c r="J49" s="8" t="s">
        <v>11</v>
      </c>
      <c r="K49" s="8"/>
      <c r="L49" s="39"/>
    </row>
    <row r="50" spans="1:23" x14ac:dyDescent="0.25">
      <c r="A50" s="8"/>
      <c r="B50" s="8" t="s">
        <v>13</v>
      </c>
      <c r="C50" s="8"/>
      <c r="D50" s="29" t="s">
        <v>233</v>
      </c>
      <c r="E50" s="80"/>
      <c r="F50" s="60">
        <v>5</v>
      </c>
      <c r="G50" s="81">
        <v>2841</v>
      </c>
      <c r="H50" s="78">
        <v>4</v>
      </c>
      <c r="I50" s="29">
        <v>4</v>
      </c>
      <c r="J50" s="29">
        <v>1</v>
      </c>
      <c r="K50" s="8"/>
      <c r="L50" s="11">
        <f>F50*H50*I50*G50*J50</f>
        <v>227280</v>
      </c>
    </row>
    <row r="51" spans="1:2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23" x14ac:dyDescent="0.25">
      <c r="A52" s="8"/>
      <c r="B52" s="65" t="s">
        <v>168</v>
      </c>
      <c r="C52" s="8"/>
      <c r="D52" s="8"/>
      <c r="E52" s="8"/>
      <c r="F52" s="8"/>
      <c r="G52" s="8"/>
      <c r="H52" s="8"/>
      <c r="I52" s="8"/>
      <c r="J52" s="8"/>
      <c r="K52" s="8"/>
    </row>
    <row r="53" spans="1:23" x14ac:dyDescent="0.25">
      <c r="A53" s="8"/>
      <c r="B53" s="8" t="s">
        <v>137</v>
      </c>
      <c r="C53" s="8"/>
      <c r="D53" s="8" t="s">
        <v>90</v>
      </c>
      <c r="E53" s="29">
        <v>10</v>
      </c>
      <c r="F53" s="8" t="s">
        <v>150</v>
      </c>
      <c r="G53" s="61">
        <f>Data!R5</f>
        <v>18078.375</v>
      </c>
      <c r="H53" s="62" t="s">
        <v>152</v>
      </c>
      <c r="I53" s="8"/>
      <c r="J53" s="8"/>
      <c r="K53" s="8"/>
      <c r="L53" s="11">
        <f>E53*G53</f>
        <v>180783.75</v>
      </c>
      <c r="U53" t="s">
        <v>67</v>
      </c>
      <c r="V53" t="s">
        <v>68</v>
      </c>
      <c r="W53">
        <v>400</v>
      </c>
    </row>
    <row r="54" spans="1:23" x14ac:dyDescent="0.25">
      <c r="A54" s="8"/>
      <c r="B54" s="8" t="s">
        <v>138</v>
      </c>
      <c r="C54" s="8"/>
      <c r="D54" s="8" t="s">
        <v>91</v>
      </c>
      <c r="E54" s="29">
        <v>10</v>
      </c>
      <c r="F54" s="8" t="s">
        <v>150</v>
      </c>
      <c r="G54" s="61">
        <f>Data!R6</f>
        <v>49930.750000000007</v>
      </c>
      <c r="H54" s="62" t="s">
        <v>152</v>
      </c>
      <c r="I54" s="8"/>
      <c r="J54" s="8"/>
      <c r="K54" s="8"/>
      <c r="L54" s="11">
        <f t="shared" ref="L54:L55" si="1">E54*G54</f>
        <v>499307.50000000006</v>
      </c>
    </row>
    <row r="55" spans="1:23" x14ac:dyDescent="0.25">
      <c r="A55" s="8"/>
      <c r="B55" s="8"/>
      <c r="C55" s="8"/>
      <c r="D55" s="8" t="s">
        <v>92</v>
      </c>
      <c r="E55" s="29">
        <v>10</v>
      </c>
      <c r="F55" s="8" t="s">
        <v>150</v>
      </c>
      <c r="G55" s="61">
        <f>Data!R7</f>
        <v>86087.5</v>
      </c>
      <c r="H55" s="62" t="s">
        <v>152</v>
      </c>
      <c r="I55" s="8"/>
      <c r="J55" s="8"/>
      <c r="K55" s="8"/>
      <c r="L55" s="11">
        <f t="shared" si="1"/>
        <v>860875</v>
      </c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23" x14ac:dyDescent="0.25">
      <c r="A57" s="8"/>
      <c r="B57" s="8"/>
      <c r="C57" s="8"/>
      <c r="D57" s="8" t="s">
        <v>144</v>
      </c>
      <c r="E57" s="8" t="s">
        <v>11</v>
      </c>
      <c r="F57" s="8"/>
      <c r="G57" s="8"/>
      <c r="H57" s="8"/>
      <c r="I57" s="8"/>
      <c r="J57" s="8"/>
      <c r="K57" s="8"/>
    </row>
    <row r="58" spans="1:23" ht="15.75" thickBot="1" x14ac:dyDescent="0.3">
      <c r="A58" s="8"/>
      <c r="B58" s="8" t="s">
        <v>15</v>
      </c>
      <c r="C58" s="8"/>
      <c r="D58" s="29">
        <v>20000</v>
      </c>
      <c r="E58" s="29">
        <v>4</v>
      </c>
      <c r="F58" s="8"/>
      <c r="G58" s="8"/>
      <c r="H58" s="42" t="s">
        <v>154</v>
      </c>
      <c r="I58" s="45">
        <f>L59</f>
        <v>1848246.25</v>
      </c>
      <c r="J58" s="45"/>
      <c r="K58" s="8"/>
      <c r="L58" s="40">
        <f>D58*E58</f>
        <v>80000</v>
      </c>
    </row>
    <row r="59" spans="1:23" ht="15.75" thickBot="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11">
        <f>SUM(L45:L58)</f>
        <v>1848246.25</v>
      </c>
    </row>
    <row r="60" spans="1:23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</row>
    <row r="61" spans="1:23" ht="23.25" x14ac:dyDescent="0.35">
      <c r="A61" s="31"/>
      <c r="B61" s="38" t="s">
        <v>139</v>
      </c>
      <c r="C61" s="31"/>
      <c r="D61" s="31"/>
      <c r="E61" s="31"/>
      <c r="F61" s="31"/>
      <c r="G61" s="31"/>
      <c r="H61" s="31"/>
      <c r="I61" s="31"/>
      <c r="J61" s="31"/>
      <c r="K61" s="31"/>
    </row>
    <row r="62" spans="1:23" x14ac:dyDescent="0.25">
      <c r="A62" s="31"/>
      <c r="B62" s="37"/>
      <c r="C62" s="31"/>
      <c r="D62" s="31"/>
      <c r="E62" s="31"/>
      <c r="F62" s="31"/>
      <c r="G62" s="31"/>
      <c r="H62" s="31"/>
      <c r="I62" s="31"/>
      <c r="J62" s="31"/>
      <c r="K62" s="31"/>
    </row>
    <row r="63" spans="1:23" x14ac:dyDescent="0.25">
      <c r="A63" s="31"/>
      <c r="B63" s="31"/>
      <c r="C63" s="31"/>
      <c r="D63" s="31" t="s">
        <v>142</v>
      </c>
      <c r="E63" s="31" t="s">
        <v>143</v>
      </c>
      <c r="F63" s="32"/>
      <c r="G63" s="59" t="s">
        <v>169</v>
      </c>
      <c r="H63" s="31"/>
      <c r="I63" s="31"/>
      <c r="J63" s="31"/>
      <c r="K63" s="31"/>
    </row>
    <row r="64" spans="1:23" x14ac:dyDescent="0.25">
      <c r="A64" s="31"/>
      <c r="B64" s="31" t="s">
        <v>16</v>
      </c>
      <c r="C64" s="31"/>
      <c r="D64" s="29">
        <v>120</v>
      </c>
      <c r="E64" s="29">
        <v>250</v>
      </c>
      <c r="F64" s="32"/>
      <c r="G64" s="55">
        <f>IF(AND(E64&gt;0),Data!BK5,"")</f>
        <v>25826.25</v>
      </c>
      <c r="H64" s="31"/>
      <c r="I64" s="31"/>
      <c r="J64" s="31"/>
      <c r="K64" s="31"/>
      <c r="L64" s="82">
        <f>IF(G64&lt;&gt;"",Moms*((E64*Data!BE5)+0.25*(E64*Data!BE5)+0.05*(E64*Data!BE5))+G64,"")</f>
        <v>188326.25</v>
      </c>
      <c r="N64" t="s">
        <v>147</v>
      </c>
    </row>
    <row r="65" spans="1:14" x14ac:dyDescent="0.25">
      <c r="A65" s="31"/>
      <c r="B65" s="31"/>
      <c r="C65" s="31"/>
      <c r="D65" s="29"/>
      <c r="E65" s="29"/>
      <c r="F65" s="32"/>
      <c r="G65" s="55" t="str">
        <f>IF(AND(E65&gt;0),Data!BK5,"")</f>
        <v/>
      </c>
      <c r="H65" s="31"/>
      <c r="I65" s="31"/>
      <c r="J65" s="31"/>
      <c r="K65" s="31"/>
      <c r="L65" s="82" t="str">
        <f>IF(G65&lt;&gt;"",Moms*((E65*Data!BE5)+0.25*(E65*Data!BE5)+0.05*(E65*Data!BE5))+G65,"")</f>
        <v/>
      </c>
      <c r="N65" t="s">
        <v>146</v>
      </c>
    </row>
    <row r="66" spans="1:14" x14ac:dyDescent="0.25">
      <c r="A66" s="31"/>
      <c r="B66" s="31"/>
      <c r="C66" s="31"/>
      <c r="D66" s="29"/>
      <c r="E66" s="29"/>
      <c r="F66" s="32"/>
      <c r="G66" s="55" t="str">
        <f>IF(AND(E66&gt;0),Data!BK5,"")</f>
        <v/>
      </c>
      <c r="H66" s="31"/>
      <c r="I66" s="31"/>
      <c r="J66" s="31"/>
      <c r="K66" s="31"/>
      <c r="L66" s="82" t="str">
        <f>IF(G66&lt;&gt;"",Moms*((E66*Data!BE5)+0.25*(E66*Data!BE5)+0.05*(E66*Data!BE5))+G66,"")</f>
        <v/>
      </c>
      <c r="N66" t="s">
        <v>148</v>
      </c>
    </row>
    <row r="67" spans="1:14" x14ac:dyDescent="0.25">
      <c r="A67" s="31"/>
      <c r="B67" s="31"/>
      <c r="C67" s="31"/>
      <c r="D67" s="29"/>
      <c r="E67" s="29"/>
      <c r="F67" s="32"/>
      <c r="G67" s="55" t="str">
        <f>IF(AND(E67&gt;0),Data!BK5,"")</f>
        <v/>
      </c>
      <c r="H67" s="31"/>
      <c r="I67" s="31"/>
      <c r="J67" s="31"/>
      <c r="K67" s="31"/>
      <c r="L67" s="82" t="str">
        <f>IF(G67&lt;&gt;"",Moms*((E67*Data!BE5)+0.25*(E67*Data!BE5)+0.05*(E67*Data!BE5))+G67,"")</f>
        <v/>
      </c>
      <c r="N67" t="s">
        <v>178</v>
      </c>
    </row>
    <row r="68" spans="1:14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</row>
    <row r="69" spans="1:14" x14ac:dyDescent="0.25">
      <c r="A69" s="31"/>
      <c r="B69" s="31" t="s">
        <v>173</v>
      </c>
      <c r="C69" s="31"/>
      <c r="D69" s="31" t="s">
        <v>145</v>
      </c>
      <c r="E69" s="31"/>
      <c r="F69" s="54" t="s">
        <v>157</v>
      </c>
      <c r="G69" s="31"/>
      <c r="H69" s="31"/>
      <c r="I69" s="31"/>
      <c r="J69" s="31"/>
      <c r="K69" s="31"/>
    </row>
    <row r="70" spans="1:14" x14ac:dyDescent="0.25">
      <c r="A70" s="31"/>
      <c r="B70" s="31" t="s">
        <v>164</v>
      </c>
      <c r="C70" s="31"/>
      <c r="D70" s="29">
        <v>7</v>
      </c>
      <c r="E70" s="31"/>
      <c r="F70" s="55">
        <f>Data!BJ5</f>
        <v>43043.75</v>
      </c>
      <c r="G70" s="31"/>
      <c r="H70" s="31"/>
      <c r="I70" s="31"/>
      <c r="J70" s="31"/>
      <c r="K70" s="31"/>
      <c r="L70" s="11">
        <f>D70*F70</f>
        <v>301306.25</v>
      </c>
    </row>
    <row r="71" spans="1:14" x14ac:dyDescent="0.25">
      <c r="A71" s="31"/>
      <c r="B71" s="66" t="s">
        <v>168</v>
      </c>
      <c r="C71" s="31"/>
      <c r="D71" s="31"/>
      <c r="E71" s="31"/>
      <c r="F71" s="31"/>
      <c r="G71" s="31"/>
      <c r="H71" s="31"/>
      <c r="I71" s="31"/>
      <c r="J71" s="31"/>
      <c r="K71" s="31"/>
    </row>
    <row r="72" spans="1:14" x14ac:dyDescent="0.25">
      <c r="A72" s="31"/>
      <c r="B72" s="31"/>
      <c r="C72" s="31"/>
      <c r="D72" s="31" t="s">
        <v>11</v>
      </c>
      <c r="E72" s="31"/>
      <c r="F72" s="54" t="s">
        <v>156</v>
      </c>
      <c r="G72" s="31"/>
      <c r="H72" s="31"/>
      <c r="I72" s="31"/>
      <c r="J72" s="31"/>
      <c r="K72" s="31"/>
    </row>
    <row r="73" spans="1:14" x14ac:dyDescent="0.25">
      <c r="A73" s="31"/>
      <c r="B73" s="31" t="s">
        <v>17</v>
      </c>
      <c r="C73" s="31"/>
      <c r="D73" s="29">
        <v>2</v>
      </c>
      <c r="E73" s="31"/>
      <c r="F73" s="56">
        <f>Data!BM5</f>
        <v>43043.75</v>
      </c>
      <c r="G73" s="31"/>
      <c r="H73" s="31"/>
      <c r="I73" s="31"/>
      <c r="J73" s="31"/>
      <c r="K73" s="31"/>
      <c r="L73" s="11">
        <f>D73*F73</f>
        <v>86087.5</v>
      </c>
    </row>
    <row r="74" spans="1:14" x14ac:dyDescent="0.25">
      <c r="A74" s="31"/>
      <c r="B74" s="66" t="s">
        <v>168</v>
      </c>
      <c r="C74" s="31"/>
      <c r="D74" s="31"/>
      <c r="E74" s="31"/>
      <c r="F74" s="31"/>
      <c r="G74" s="31"/>
      <c r="H74" s="31"/>
      <c r="I74" s="31"/>
      <c r="J74" s="31"/>
      <c r="K74" s="31"/>
    </row>
    <row r="75" spans="1:14" x14ac:dyDescent="0.25">
      <c r="A75" s="31"/>
      <c r="B75" s="31"/>
      <c r="C75" s="31"/>
      <c r="D75" s="31"/>
      <c r="E75" s="31" t="s">
        <v>258</v>
      </c>
      <c r="F75" s="54" t="s">
        <v>158</v>
      </c>
      <c r="G75" s="31"/>
      <c r="H75" s="31"/>
      <c r="I75" s="31"/>
      <c r="J75" s="31"/>
      <c r="K75" s="31"/>
    </row>
    <row r="76" spans="1:14" x14ac:dyDescent="0.25">
      <c r="A76" s="31"/>
      <c r="B76" s="31" t="s">
        <v>18</v>
      </c>
      <c r="C76" s="31"/>
      <c r="D76" s="31" t="s">
        <v>103</v>
      </c>
      <c r="E76" s="29">
        <v>200</v>
      </c>
      <c r="F76" s="54">
        <v>3000</v>
      </c>
      <c r="G76" s="31"/>
      <c r="H76" s="31"/>
      <c r="I76" s="31"/>
      <c r="J76" s="31"/>
      <c r="K76" s="31"/>
      <c r="L76" s="11">
        <f>E76*F76</f>
        <v>600000</v>
      </c>
    </row>
    <row r="77" spans="1:14" x14ac:dyDescent="0.25">
      <c r="A77" s="31"/>
      <c r="B77" s="31"/>
      <c r="C77" s="31"/>
      <c r="D77" s="31" t="s">
        <v>104</v>
      </c>
      <c r="E77" s="29">
        <v>50</v>
      </c>
      <c r="F77" s="54">
        <v>4800</v>
      </c>
      <c r="G77" s="31"/>
      <c r="H77" s="31"/>
      <c r="I77" s="31"/>
      <c r="J77" s="31"/>
      <c r="K77" s="31"/>
      <c r="L77" s="11">
        <f t="shared" ref="L77:L80" si="2">E77*F77</f>
        <v>240000</v>
      </c>
    </row>
    <row r="78" spans="1:14" x14ac:dyDescent="0.25">
      <c r="A78" s="31"/>
      <c r="B78" s="31"/>
      <c r="C78" s="31"/>
      <c r="D78" s="31"/>
      <c r="E78" s="31"/>
      <c r="F78" s="54"/>
      <c r="G78" s="31"/>
      <c r="H78" s="31"/>
      <c r="I78" s="31"/>
      <c r="J78" s="31"/>
      <c r="K78" s="31"/>
    </row>
    <row r="79" spans="1:14" x14ac:dyDescent="0.25">
      <c r="A79" s="31"/>
      <c r="B79" s="31" t="s">
        <v>19</v>
      </c>
      <c r="C79" s="31"/>
      <c r="D79" s="31" t="s">
        <v>103</v>
      </c>
      <c r="E79" s="29">
        <v>59</v>
      </c>
      <c r="F79" s="54">
        <v>1400</v>
      </c>
      <c r="G79" s="31"/>
      <c r="H79" s="31"/>
      <c r="I79" s="31"/>
      <c r="J79" s="31"/>
      <c r="K79" s="31"/>
      <c r="L79" s="11">
        <f t="shared" si="2"/>
        <v>82600</v>
      </c>
    </row>
    <row r="80" spans="1:14" x14ac:dyDescent="0.25">
      <c r="A80" s="31"/>
      <c r="B80" s="31"/>
      <c r="C80" s="31"/>
      <c r="D80" s="31" t="s">
        <v>104</v>
      </c>
      <c r="E80" s="29">
        <v>5</v>
      </c>
      <c r="F80" s="54">
        <v>3000</v>
      </c>
      <c r="G80" s="31"/>
      <c r="H80" s="31"/>
      <c r="I80" s="31"/>
      <c r="J80" s="31"/>
      <c r="K80" s="31"/>
      <c r="L80" s="11">
        <f t="shared" si="2"/>
        <v>15000</v>
      </c>
    </row>
    <row r="81" spans="1:14" x14ac:dyDescent="0.25">
      <c r="A81" s="31"/>
      <c r="B81" s="66" t="s">
        <v>168</v>
      </c>
      <c r="C81" s="31"/>
      <c r="D81" s="31"/>
      <c r="E81" s="31"/>
      <c r="F81" s="31"/>
      <c r="G81" s="31"/>
      <c r="H81" s="31"/>
      <c r="I81" s="31"/>
      <c r="J81" s="31"/>
      <c r="K81" s="31"/>
    </row>
    <row r="82" spans="1:14" x14ac:dyDescent="0.25">
      <c r="A82" s="31"/>
      <c r="B82" s="31" t="s">
        <v>20</v>
      </c>
      <c r="C82" s="31"/>
      <c r="D82" s="31" t="s">
        <v>105</v>
      </c>
      <c r="E82" s="29">
        <v>10</v>
      </c>
      <c r="F82" s="54">
        <f>Data!BO6</f>
        <v>190000</v>
      </c>
      <c r="G82" s="54" t="s">
        <v>159</v>
      </c>
      <c r="H82" s="31"/>
      <c r="I82" s="31"/>
      <c r="J82" s="31"/>
      <c r="K82" s="31"/>
      <c r="L82" s="11">
        <f>E82*F82</f>
        <v>1900000</v>
      </c>
    </row>
    <row r="83" spans="1:14" ht="15.75" thickBot="1" x14ac:dyDescent="0.3">
      <c r="A83" s="31"/>
      <c r="B83" s="31"/>
      <c r="C83" s="31"/>
      <c r="D83" s="31" t="s">
        <v>106</v>
      </c>
      <c r="E83" s="29">
        <v>15</v>
      </c>
      <c r="F83" s="54">
        <f>Data!BO5</f>
        <v>235000</v>
      </c>
      <c r="G83" s="31"/>
      <c r="H83" s="43" t="s">
        <v>154</v>
      </c>
      <c r="I83" s="44">
        <f>L84</f>
        <v>6938320</v>
      </c>
      <c r="J83" s="44"/>
      <c r="K83" s="31"/>
      <c r="L83" s="40">
        <f>E83*F83</f>
        <v>3525000</v>
      </c>
    </row>
    <row r="84" spans="1:14" ht="15.75" thickBot="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11">
        <f>SUM(L64:L83)</f>
        <v>6938320</v>
      </c>
    </row>
    <row r="85" spans="1:14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</row>
    <row r="86" spans="1:14" ht="23.25" x14ac:dyDescent="0.35">
      <c r="A86" s="31"/>
      <c r="B86" s="38" t="s">
        <v>3</v>
      </c>
      <c r="C86" s="31"/>
      <c r="D86" s="31"/>
      <c r="E86" s="31"/>
      <c r="F86" s="31"/>
      <c r="G86" s="31"/>
      <c r="H86" s="31"/>
      <c r="I86" s="31"/>
      <c r="J86" s="31"/>
      <c r="K86" s="31"/>
    </row>
    <row r="87" spans="1:14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</row>
    <row r="88" spans="1:14" x14ac:dyDescent="0.25">
      <c r="A88" s="31"/>
      <c r="B88" s="31"/>
      <c r="C88" s="31"/>
      <c r="D88" s="31" t="s">
        <v>11</v>
      </c>
      <c r="E88" s="54" t="s">
        <v>140</v>
      </c>
      <c r="F88" s="31"/>
      <c r="G88" s="31"/>
      <c r="H88" s="31"/>
      <c r="I88" s="31"/>
      <c r="J88" s="31"/>
      <c r="K88" s="31"/>
    </row>
    <row r="89" spans="1:14" x14ac:dyDescent="0.25">
      <c r="A89" s="31"/>
      <c r="B89" s="31" t="s">
        <v>21</v>
      </c>
      <c r="C89" s="31"/>
      <c r="D89" s="60">
        <v>3</v>
      </c>
      <c r="E89" s="90">
        <f>Data!BY5</f>
        <v>172175</v>
      </c>
      <c r="F89" s="31"/>
      <c r="G89" s="31"/>
      <c r="H89" s="31"/>
      <c r="I89" s="31"/>
      <c r="J89" s="31"/>
      <c r="K89" s="31"/>
      <c r="L89" s="11">
        <f>D89*E89</f>
        <v>516525</v>
      </c>
    </row>
    <row r="90" spans="1:14" x14ac:dyDescent="0.25">
      <c r="A90" s="31"/>
      <c r="B90" s="31" t="s">
        <v>22</v>
      </c>
      <c r="C90" s="31"/>
      <c r="D90" s="60">
        <v>5</v>
      </c>
      <c r="E90" s="90">
        <f>Data!BY6</f>
        <v>430437.5</v>
      </c>
      <c r="F90" s="31"/>
      <c r="G90" s="31"/>
      <c r="H90" s="31"/>
      <c r="I90" s="31"/>
      <c r="J90" s="31"/>
      <c r="K90" s="31"/>
      <c r="L90" s="11">
        <f>D90*E90</f>
        <v>2152187.5</v>
      </c>
      <c r="N90" s="11"/>
    </row>
    <row r="91" spans="1:14" x14ac:dyDescent="0.25">
      <c r="A91" s="31"/>
      <c r="B91" s="31" t="s">
        <v>23</v>
      </c>
      <c r="C91" s="31"/>
      <c r="D91" s="60">
        <v>1</v>
      </c>
      <c r="E91" s="90">
        <f>Data!BY7</f>
        <v>1205225.0000000002</v>
      </c>
      <c r="F91" s="31"/>
      <c r="G91" s="31"/>
      <c r="H91" s="31"/>
      <c r="I91" s="31"/>
      <c r="J91" s="31"/>
      <c r="K91" s="31"/>
      <c r="L91" s="11">
        <f t="shared" ref="L91:L94" si="3">D91*E91</f>
        <v>1205225.0000000002</v>
      </c>
      <c r="N91" s="11"/>
    </row>
    <row r="92" spans="1:14" x14ac:dyDescent="0.25">
      <c r="A92" s="31"/>
      <c r="B92" s="31" t="s">
        <v>24</v>
      </c>
      <c r="C92" s="31"/>
      <c r="D92" s="60">
        <v>5</v>
      </c>
      <c r="E92" s="90">
        <f>Data!BY8</f>
        <v>258262.5</v>
      </c>
      <c r="F92" s="31"/>
      <c r="G92" s="31"/>
      <c r="H92" s="31"/>
      <c r="I92" s="31"/>
      <c r="J92" s="31"/>
      <c r="K92" s="31"/>
      <c r="L92" s="11">
        <f t="shared" si="3"/>
        <v>1291312.5</v>
      </c>
      <c r="N92" s="11"/>
    </row>
    <row r="93" spans="1:14" x14ac:dyDescent="0.25">
      <c r="A93" s="31"/>
      <c r="B93" s="31" t="s">
        <v>25</v>
      </c>
      <c r="C93" s="31"/>
      <c r="D93" s="60">
        <v>1</v>
      </c>
      <c r="E93" s="90">
        <f>Data!BY9</f>
        <v>1033050</v>
      </c>
      <c r="F93" s="31"/>
      <c r="G93" s="31" t="s">
        <v>153</v>
      </c>
      <c r="H93" s="31"/>
      <c r="I93" s="31"/>
      <c r="J93" s="31"/>
      <c r="K93" s="31"/>
      <c r="L93" s="11">
        <f>D93*E93</f>
        <v>1033050</v>
      </c>
      <c r="N93" s="11"/>
    </row>
    <row r="94" spans="1:14" x14ac:dyDescent="0.25">
      <c r="A94" s="31"/>
      <c r="B94" s="31" t="s">
        <v>26</v>
      </c>
      <c r="C94" s="31"/>
      <c r="D94" s="60">
        <v>6</v>
      </c>
      <c r="E94" s="90">
        <f>Data!BY10</f>
        <v>137740</v>
      </c>
      <c r="F94" s="31"/>
      <c r="G94" s="89"/>
      <c r="H94" s="31"/>
      <c r="I94" s="31"/>
      <c r="J94" s="31"/>
      <c r="K94" s="31"/>
      <c r="L94" s="11">
        <f t="shared" si="3"/>
        <v>826440</v>
      </c>
      <c r="N94" s="11"/>
    </row>
    <row r="95" spans="1:14" x14ac:dyDescent="0.25">
      <c r="A95" s="31"/>
      <c r="B95" s="66" t="s">
        <v>168</v>
      </c>
      <c r="C95" s="31"/>
      <c r="D95" s="31"/>
      <c r="E95" s="41"/>
      <c r="F95" s="31"/>
      <c r="G95" s="31"/>
      <c r="H95" s="31"/>
      <c r="I95" s="31"/>
      <c r="J95" s="31"/>
      <c r="K95" s="31"/>
      <c r="N95" s="11"/>
    </row>
    <row r="96" spans="1:14" x14ac:dyDescent="0.25">
      <c r="A96" s="31"/>
      <c r="B96" s="31" t="s">
        <v>135</v>
      </c>
      <c r="C96" s="31"/>
      <c r="D96" s="32" t="s">
        <v>11</v>
      </c>
      <c r="E96" s="32" t="s">
        <v>76</v>
      </c>
      <c r="F96" s="31"/>
      <c r="G96" s="31"/>
      <c r="H96" s="31"/>
      <c r="I96" s="31"/>
      <c r="J96" s="31"/>
      <c r="K96" s="31"/>
    </row>
    <row r="97" spans="1:14" x14ac:dyDescent="0.25">
      <c r="A97" s="31"/>
      <c r="B97" s="29"/>
      <c r="C97" s="31"/>
      <c r="D97" s="29">
        <v>9999</v>
      </c>
      <c r="E97" s="29">
        <v>6</v>
      </c>
      <c r="F97" s="31"/>
      <c r="G97" s="31"/>
      <c r="H97" s="31"/>
      <c r="I97" s="31"/>
      <c r="J97" s="31"/>
      <c r="K97" s="31"/>
      <c r="L97" s="11">
        <f>D97*E97</f>
        <v>59994</v>
      </c>
    </row>
    <row r="98" spans="1:14" x14ac:dyDescent="0.25">
      <c r="A98" s="31"/>
      <c r="B98" s="29"/>
      <c r="C98" s="31"/>
      <c r="D98" s="29"/>
      <c r="E98" s="29"/>
      <c r="F98" s="31"/>
      <c r="G98" s="31"/>
      <c r="H98" s="31"/>
      <c r="I98" s="31"/>
      <c r="J98" s="31"/>
      <c r="K98" s="31"/>
      <c r="L98" s="11">
        <f t="shared" ref="L98:L99" si="4">D98*E98</f>
        <v>0</v>
      </c>
    </row>
    <row r="99" spans="1:14" ht="15.75" thickBot="1" x14ac:dyDescent="0.3">
      <c r="A99" s="31"/>
      <c r="B99" s="29"/>
      <c r="C99" s="31"/>
      <c r="D99" s="29"/>
      <c r="E99" s="29"/>
      <c r="F99" s="31"/>
      <c r="G99" s="31"/>
      <c r="H99" s="43" t="s">
        <v>154</v>
      </c>
      <c r="I99" s="44">
        <f>L100+G94</f>
        <v>7084734</v>
      </c>
      <c r="J99" s="44"/>
      <c r="K99" s="31"/>
      <c r="L99" s="40">
        <f t="shared" si="4"/>
        <v>0</v>
      </c>
    </row>
    <row r="100" spans="1:14" ht="15.75" thickBot="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11">
        <f>SUM(L89:L99)</f>
        <v>7084734</v>
      </c>
    </row>
    <row r="101" spans="1:14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1:14" ht="23.25" x14ac:dyDescent="0.35">
      <c r="A102" s="47"/>
      <c r="B102" s="48" t="s">
        <v>160</v>
      </c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1:14" x14ac:dyDescent="0.25">
      <c r="A103" s="47"/>
      <c r="B103" s="47"/>
      <c r="C103" s="47"/>
      <c r="D103" s="47"/>
      <c r="E103" s="47" t="s">
        <v>163</v>
      </c>
      <c r="F103" s="47"/>
      <c r="G103" s="57" t="s">
        <v>162</v>
      </c>
      <c r="H103" s="47"/>
      <c r="I103" s="47"/>
      <c r="J103" s="47"/>
      <c r="K103" s="47"/>
    </row>
    <row r="104" spans="1:14" x14ac:dyDescent="0.25">
      <c r="A104" s="47"/>
      <c r="B104" s="47" t="s">
        <v>161</v>
      </c>
      <c r="C104" s="47"/>
      <c r="D104" s="47" t="s">
        <v>90</v>
      </c>
      <c r="E104" s="29"/>
      <c r="F104" s="47"/>
      <c r="G104" s="53">
        <f>Data!CB5</f>
        <v>37878.5</v>
      </c>
      <c r="H104" s="47"/>
      <c r="I104" s="47"/>
      <c r="J104" s="47"/>
      <c r="K104" s="47"/>
      <c r="L104" s="11">
        <f>E104*G104</f>
        <v>0</v>
      </c>
    </row>
    <row r="105" spans="1:14" x14ac:dyDescent="0.25">
      <c r="A105" s="47"/>
      <c r="B105" s="47"/>
      <c r="C105" s="47"/>
      <c r="D105" s="47" t="s">
        <v>91</v>
      </c>
      <c r="E105" s="29">
        <v>12</v>
      </c>
      <c r="F105" s="47"/>
      <c r="G105" s="53">
        <f>Data!CB6</f>
        <v>89531</v>
      </c>
      <c r="H105" s="47"/>
      <c r="I105" s="47"/>
      <c r="J105" s="47"/>
      <c r="K105" s="47"/>
      <c r="L105" s="11">
        <f>E105*G105</f>
        <v>1074372</v>
      </c>
    </row>
    <row r="106" spans="1:14" x14ac:dyDescent="0.25">
      <c r="A106" s="47"/>
      <c r="B106" s="47"/>
      <c r="C106" s="47"/>
      <c r="D106" s="47" t="s">
        <v>92</v>
      </c>
      <c r="E106" s="29"/>
      <c r="F106" s="47"/>
      <c r="G106" s="53">
        <f>Data!CB7</f>
        <v>261706.00000000003</v>
      </c>
      <c r="H106" s="47"/>
      <c r="I106" s="47"/>
      <c r="J106" s="47"/>
      <c r="K106" s="47"/>
      <c r="L106" s="11">
        <f>E106*G106</f>
        <v>0</v>
      </c>
    </row>
    <row r="107" spans="1:14" x14ac:dyDescent="0.25">
      <c r="A107" s="47"/>
      <c r="B107" s="67" t="s">
        <v>168</v>
      </c>
      <c r="C107" s="47"/>
      <c r="D107" s="47"/>
      <c r="E107" s="47"/>
      <c r="F107" s="47"/>
      <c r="G107" s="47"/>
      <c r="H107" s="47"/>
      <c r="I107" s="47"/>
      <c r="J107" s="47"/>
      <c r="K107" s="47"/>
    </row>
    <row r="108" spans="1:14" x14ac:dyDescent="0.25">
      <c r="A108" s="47"/>
      <c r="B108" s="47"/>
      <c r="C108" s="47"/>
      <c r="D108" s="47" t="s">
        <v>142</v>
      </c>
      <c r="E108" s="47" t="s">
        <v>143</v>
      </c>
      <c r="F108" s="49"/>
      <c r="G108" s="70" t="s">
        <v>169</v>
      </c>
      <c r="H108" s="47"/>
      <c r="I108" s="47"/>
      <c r="J108" s="47"/>
      <c r="K108" s="47"/>
    </row>
    <row r="109" spans="1:14" x14ac:dyDescent="0.25">
      <c r="A109" s="47"/>
      <c r="B109" s="47" t="s">
        <v>16</v>
      </c>
      <c r="C109" s="47"/>
      <c r="D109" s="29">
        <v>22</v>
      </c>
      <c r="E109" s="29">
        <v>123</v>
      </c>
      <c r="F109" s="49"/>
      <c r="G109" s="58">
        <f>IF(AND(E109&gt;0),Data!BK5,"")</f>
        <v>25826.25</v>
      </c>
      <c r="H109" s="47"/>
      <c r="I109" s="47"/>
      <c r="J109" s="47"/>
      <c r="K109" s="47"/>
      <c r="L109" s="82">
        <f>IF(G109&lt;&gt;"",Moms*((E109*Data!BE5)+0.25*(E109*Data!BE5)+0.05*(E109*Data!BE5))+G109,"")</f>
        <v>105776.25</v>
      </c>
      <c r="N109" t="s">
        <v>147</v>
      </c>
    </row>
    <row r="110" spans="1:14" x14ac:dyDescent="0.25">
      <c r="A110" s="47"/>
      <c r="B110" s="47"/>
      <c r="C110" s="47"/>
      <c r="D110" s="29">
        <v>12</v>
      </c>
      <c r="E110" s="29">
        <v>3</v>
      </c>
      <c r="F110" s="49"/>
      <c r="G110" s="58">
        <f>IF(AND(E110&gt;0),Data!BK5,"")</f>
        <v>25826.25</v>
      </c>
      <c r="H110" s="47"/>
      <c r="I110" s="47"/>
      <c r="J110" s="47"/>
      <c r="K110" s="47"/>
      <c r="L110" s="82">
        <f>IF(G110&lt;&gt;"",Moms*((E110*Data!BE5)+0.25*(E110*Data!BE5)+0.05*(E110*Data!BE5))+G110,"")</f>
        <v>27776.25</v>
      </c>
      <c r="N110" t="s">
        <v>146</v>
      </c>
    </row>
    <row r="111" spans="1:14" x14ac:dyDescent="0.25">
      <c r="A111" s="47"/>
      <c r="B111" s="47"/>
      <c r="C111" s="47"/>
      <c r="D111" s="29"/>
      <c r="E111" s="29"/>
      <c r="F111" s="49"/>
      <c r="G111" s="58" t="str">
        <f>IF(AND(E111&gt;0),Data!BK5,"")</f>
        <v/>
      </c>
      <c r="H111" s="47"/>
      <c r="I111" s="47"/>
      <c r="J111" s="47"/>
      <c r="K111" s="47"/>
      <c r="L111" s="82" t="str">
        <f>IF(G111&lt;&gt;"",Moms*((E111*Data!BE5)+0.25*(E111*Data!BE5)+0.05*(E111*Data!BE5))+G111,"")</f>
        <v/>
      </c>
      <c r="N111" t="s">
        <v>148</v>
      </c>
    </row>
    <row r="112" spans="1:14" x14ac:dyDescent="0.25">
      <c r="A112" s="47"/>
      <c r="B112" s="47"/>
      <c r="C112" s="47"/>
      <c r="D112" s="29"/>
      <c r="E112" s="29"/>
      <c r="F112" s="49"/>
      <c r="G112" s="58" t="str">
        <f>IF(AND(E112&gt;0),Data!BK5,"")</f>
        <v/>
      </c>
      <c r="H112" s="47"/>
      <c r="I112" s="47"/>
      <c r="J112" s="47"/>
      <c r="K112" s="47"/>
      <c r="L112" s="82" t="str">
        <f>IF(G112&lt;&gt;"",Moms*((E112*Data!BE5)+0.25*(E112*Data!BE5)+0.05*(E112*Data!BE5))+G112,"")</f>
        <v/>
      </c>
      <c r="N112" t="s">
        <v>167</v>
      </c>
    </row>
    <row r="113" spans="1:12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</row>
    <row r="114" spans="1:12" x14ac:dyDescent="0.25">
      <c r="A114" s="47"/>
      <c r="B114" s="47" t="s">
        <v>172</v>
      </c>
      <c r="C114" s="47"/>
      <c r="D114" s="47" t="s">
        <v>145</v>
      </c>
      <c r="E114" s="47"/>
      <c r="F114" s="57" t="s">
        <v>157</v>
      </c>
      <c r="G114" s="47"/>
      <c r="H114" s="47"/>
      <c r="I114" s="47"/>
      <c r="J114" s="47"/>
      <c r="K114" s="47"/>
    </row>
    <row r="115" spans="1:12" ht="15.75" thickBot="1" x14ac:dyDescent="0.3">
      <c r="A115" s="47"/>
      <c r="B115" s="47" t="s">
        <v>164</v>
      </c>
      <c r="C115" s="47"/>
      <c r="D115" s="29">
        <v>7</v>
      </c>
      <c r="E115" s="47"/>
      <c r="F115" s="58">
        <f>Data!BJ5</f>
        <v>43043.75</v>
      </c>
      <c r="G115" s="47"/>
      <c r="H115" s="51" t="s">
        <v>154</v>
      </c>
      <c r="I115" s="52">
        <f>L116</f>
        <v>1509230.75</v>
      </c>
      <c r="J115" s="52"/>
      <c r="K115" s="47"/>
      <c r="L115" s="40">
        <f>D115*F115</f>
        <v>301306.25</v>
      </c>
    </row>
    <row r="116" spans="1:12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11">
        <f>SUM(L104:L115)</f>
        <v>1509230.75</v>
      </c>
    </row>
    <row r="117" spans="1:12" ht="15.75" thickBot="1" x14ac:dyDescent="0.3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</row>
  </sheetData>
  <mergeCells count="7">
    <mergeCell ref="E12:F12"/>
    <mergeCell ref="E11:F11"/>
    <mergeCell ref="D3:G3"/>
    <mergeCell ref="E7:F7"/>
    <mergeCell ref="E8:F8"/>
    <mergeCell ref="E9:F9"/>
    <mergeCell ref="E10:F10"/>
  </mergeCells>
  <phoneticPr fontId="5" type="noConversion"/>
  <dataValidations disablePrompts="1" count="2">
    <dataValidation type="list" allowBlank="1" showInputMessage="1" showErrorMessage="1" sqref="E27" xr:uid="{7F2F0A1C-FCFF-4118-ACDC-CD4FA903B9B9}">
      <formula1>$N$25:$N$27</formula1>
    </dataValidation>
    <dataValidation type="list" allowBlank="1" showInputMessage="1" showErrorMessage="1" sqref="E28" xr:uid="{5BE5ECE5-0512-470D-AD10-81765FCA9980}">
      <formula1>"Brant,Flackt"</formula1>
    </dataValidation>
  </dataValidations>
  <pageMargins left="0.7" right="0.7" top="0.75" bottom="0.75" header="0.3" footer="0.3"/>
  <pageSetup paperSize="9" orientation="portrait" r:id="rId1"/>
  <ignoredErrors>
    <ignoredError sqref="G26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FEF280C4-EB23-4F49-A1FA-EAEF4DCB8271}">
          <x14:formula1>
            <xm:f>Data!$K$5:$K$30</xm:f>
          </x14:formula1>
          <xm:sqref>D25 D45</xm:sqref>
        </x14:dataValidation>
        <x14:dataValidation type="list" allowBlank="1" showInputMessage="1" showErrorMessage="1" xr:uid="{8929B22C-64A0-4B0F-92B8-5DD2A864C44E}">
          <x14:formula1>
            <xm:f>Data!$T$5:$T$10</xm:f>
          </x14:formula1>
          <xm:sqref>D26 D46</xm:sqref>
        </x14:dataValidation>
        <x14:dataValidation type="list" allowBlank="1" showInputMessage="1" showErrorMessage="1" xr:uid="{75823AE8-0A41-422A-91ED-65C064B64070}">
          <x14:formula1>
            <xm:f>Data!$X$5:$X$10</xm:f>
          </x14:formula1>
          <xm:sqref>D27</xm:sqref>
        </x14:dataValidation>
        <x14:dataValidation type="list" allowBlank="1" showInputMessage="1" showErrorMessage="1" xr:uid="{D278ECDC-C613-44D9-A701-F3562A0584C7}">
          <x14:formula1>
            <xm:f>Data!$AF$5:$AF$15</xm:f>
          </x14:formula1>
          <xm:sqref>D28</xm:sqref>
        </x14:dataValidation>
        <x14:dataValidation type="list" allowBlank="1" showInputMessage="1" showErrorMessage="1" xr:uid="{0632E633-49CD-4F3C-B749-4DB68B6DFB2E}">
          <x14:formula1>
            <xm:f>Data!$G$5:$G$8</xm:f>
          </x14:formula1>
          <xm:sqref>D19</xm:sqref>
        </x14:dataValidation>
        <x14:dataValidation type="list" allowBlank="1" showInputMessage="1" showErrorMessage="1" xr:uid="{B670D58D-8C53-4330-A0C2-7A226608747F}">
          <x14:formula1>
            <xm:f>Data!$AV$5:$AV$14</xm:f>
          </x14:formula1>
          <xm:sqref>D50</xm:sqref>
        </x14:dataValidation>
        <x14:dataValidation type="list" allowBlank="1" showInputMessage="1" showErrorMessage="1" xr:uid="{604C949F-1AE0-44B9-A408-E5F1AC70F9EA}">
          <x14:formula1>
            <xm:f>Data!$CC$5:$CC$13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CD30"/>
  <sheetViews>
    <sheetView tabSelected="1" zoomScale="130" zoomScaleNormal="130" workbookViewId="0">
      <selection activeCell="D2" sqref="D2"/>
    </sheetView>
  </sheetViews>
  <sheetFormatPr defaultRowHeight="15" x14ac:dyDescent="0.25"/>
  <cols>
    <col min="1" max="1" width="36.85546875" bestFit="1" customWidth="1"/>
    <col min="2" max="2" width="17" customWidth="1"/>
    <col min="3" max="3" width="21.42578125" bestFit="1" customWidth="1"/>
    <col min="4" max="4" width="31.5703125" bestFit="1" customWidth="1"/>
    <col min="6" max="6" width="11.7109375" bestFit="1" customWidth="1"/>
    <col min="7" max="7" width="23.5703125" bestFit="1" customWidth="1"/>
    <col min="11" max="11" width="36.7109375" bestFit="1" customWidth="1"/>
    <col min="13" max="13" width="9.28515625" customWidth="1"/>
    <col min="14" max="14" width="13.5703125" bestFit="1" customWidth="1"/>
    <col min="16" max="16" width="44.7109375" bestFit="1" customWidth="1"/>
    <col min="17" max="18" width="13.42578125" bestFit="1" customWidth="1"/>
    <col min="20" max="20" width="25.85546875" customWidth="1"/>
    <col min="21" max="21" width="4.28515625" bestFit="1" customWidth="1"/>
    <col min="22" max="22" width="13.5703125" bestFit="1" customWidth="1"/>
    <col min="23" max="23" width="5.42578125" customWidth="1"/>
    <col min="24" max="24" width="20.5703125" customWidth="1"/>
    <col min="28" max="28" width="10.42578125" bestFit="1" customWidth="1"/>
    <col min="29" max="29" width="11.42578125" bestFit="1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82" ht="23.25" x14ac:dyDescent="0.35">
      <c r="A1" s="1" t="s">
        <v>80</v>
      </c>
      <c r="B1" s="1"/>
    </row>
    <row r="2" spans="1:82" x14ac:dyDescent="0.25">
      <c r="D2" s="98"/>
      <c r="E2" s="18"/>
      <c r="F2" s="18"/>
      <c r="I2" s="18"/>
      <c r="L2" s="83">
        <f>MIN(L5:L30)</f>
        <v>185</v>
      </c>
      <c r="O2" s="18"/>
      <c r="S2" s="18"/>
      <c r="U2" s="83">
        <f>MIN(U5:U10)</f>
        <v>140</v>
      </c>
      <c r="W2" s="18"/>
      <c r="Y2" s="83">
        <f t="shared" ref="Y2:AA2" si="0">MIN(Y5:Y10)</f>
        <v>160</v>
      </c>
      <c r="Z2" s="14">
        <f t="shared" si="0"/>
        <v>250</v>
      </c>
      <c r="AA2" s="14">
        <f t="shared" si="0"/>
        <v>325</v>
      </c>
      <c r="AE2" s="18"/>
      <c r="AG2" s="83">
        <f>MIN(AG5:AG15)</f>
        <v>100</v>
      </c>
      <c r="AK2" s="18"/>
      <c r="AM2" s="18"/>
      <c r="AQ2" s="18"/>
      <c r="AU2" s="18"/>
      <c r="BE2" s="18"/>
      <c r="BJ2" s="18"/>
      <c r="BK2" s="18"/>
      <c r="BL2" s="99"/>
      <c r="BN2" s="18"/>
      <c r="BQ2" s="18"/>
      <c r="BS2" s="18"/>
      <c r="BU2" s="98"/>
      <c r="BV2" s="18"/>
      <c r="BW2" s="18"/>
      <c r="BZ2" s="18"/>
    </row>
    <row r="3" spans="1:82" x14ac:dyDescent="0.25">
      <c r="A3" s="5" t="s">
        <v>100</v>
      </c>
      <c r="B3" s="5"/>
      <c r="C3" s="4"/>
      <c r="D3" s="4"/>
      <c r="E3" s="4"/>
      <c r="F3" s="4"/>
      <c r="G3" s="6" t="s">
        <v>27</v>
      </c>
      <c r="H3" s="3"/>
      <c r="I3" s="5" t="s">
        <v>12</v>
      </c>
      <c r="J3" s="4"/>
      <c r="K3" s="4"/>
      <c r="L3" s="4"/>
      <c r="M3" s="4"/>
      <c r="N3" s="4"/>
      <c r="O3" s="6" t="s">
        <v>4</v>
      </c>
      <c r="P3" s="3"/>
      <c r="Q3" s="3"/>
      <c r="R3" s="3" t="s">
        <v>166</v>
      </c>
      <c r="S3" s="5" t="s">
        <v>6</v>
      </c>
      <c r="T3" s="4"/>
      <c r="U3" s="4"/>
      <c r="V3" s="4"/>
      <c r="W3" s="6" t="s">
        <v>8</v>
      </c>
      <c r="X3" s="3"/>
      <c r="Y3" s="3" t="s">
        <v>80</v>
      </c>
      <c r="Z3" s="3"/>
      <c r="AA3" s="3"/>
      <c r="AB3" s="3" t="s">
        <v>127</v>
      </c>
      <c r="AC3" s="3"/>
      <c r="AD3" s="3"/>
      <c r="AE3" s="5" t="s">
        <v>9</v>
      </c>
      <c r="AF3" s="4"/>
      <c r="AG3" s="4" t="s">
        <v>80</v>
      </c>
      <c r="AH3" s="4"/>
      <c r="AI3" s="4" t="s">
        <v>33</v>
      </c>
      <c r="AJ3" s="4"/>
      <c r="AK3" s="5" t="s">
        <v>149</v>
      </c>
      <c r="AL3" s="5"/>
      <c r="AM3" s="6" t="s">
        <v>10</v>
      </c>
      <c r="AN3" s="3"/>
      <c r="AO3" s="3"/>
      <c r="AP3" s="3"/>
      <c r="AQ3" s="5" t="s">
        <v>15</v>
      </c>
      <c r="AR3" s="4"/>
      <c r="AS3" s="4"/>
      <c r="AT3" s="4"/>
      <c r="AU3" s="6" t="s">
        <v>13</v>
      </c>
      <c r="AV3" s="3"/>
      <c r="AW3" s="3" t="s">
        <v>86</v>
      </c>
      <c r="AX3" s="3"/>
      <c r="AY3" s="3"/>
      <c r="AZ3" s="3"/>
      <c r="BA3" s="3" t="s">
        <v>124</v>
      </c>
      <c r="BB3" s="3"/>
      <c r="BC3" s="3"/>
      <c r="BD3" s="3"/>
      <c r="BE3" s="5" t="s">
        <v>16</v>
      </c>
      <c r="BF3" s="4"/>
      <c r="BG3" s="4"/>
      <c r="BH3" s="4"/>
      <c r="BI3" s="4"/>
      <c r="BJ3" s="4" t="s">
        <v>28</v>
      </c>
      <c r="BK3" s="4" t="s">
        <v>28</v>
      </c>
      <c r="BL3" s="6" t="s">
        <v>17</v>
      </c>
      <c r="BM3" s="3"/>
      <c r="BN3" s="5" t="s">
        <v>20</v>
      </c>
      <c r="BO3" s="4"/>
      <c r="BP3" s="4"/>
      <c r="BQ3" s="6" t="s">
        <v>18</v>
      </c>
      <c r="BR3" s="3"/>
      <c r="BS3" s="5" t="s">
        <v>19</v>
      </c>
      <c r="BT3" s="4"/>
      <c r="BU3" s="6" t="s">
        <v>17</v>
      </c>
      <c r="BV3" s="3"/>
      <c r="BW3" s="5" t="s">
        <v>132</v>
      </c>
      <c r="BX3" s="4"/>
      <c r="BY3" s="4"/>
      <c r="BZ3" s="51" t="s">
        <v>160</v>
      </c>
      <c r="CA3" s="47"/>
      <c r="CB3" s="47"/>
      <c r="CC3" s="4" t="s">
        <v>242</v>
      </c>
      <c r="CD3" s="4"/>
    </row>
    <row r="4" spans="1:82" x14ac:dyDescent="0.25">
      <c r="A4" s="4" t="s">
        <v>123</v>
      </c>
      <c r="B4" s="4" t="s">
        <v>122</v>
      </c>
      <c r="C4" s="4" t="s">
        <v>101</v>
      </c>
      <c r="D4" s="4" t="s">
        <v>179</v>
      </c>
      <c r="E4" s="4" t="s">
        <v>29</v>
      </c>
      <c r="F4" s="4" t="s">
        <v>165</v>
      </c>
      <c r="G4" s="3" t="s">
        <v>5</v>
      </c>
      <c r="H4" s="3" t="s">
        <v>33</v>
      </c>
      <c r="I4" s="4" t="s">
        <v>34</v>
      </c>
      <c r="J4" s="4" t="s">
        <v>5</v>
      </c>
      <c r="K4" s="4" t="s">
        <v>39</v>
      </c>
      <c r="L4" s="4" t="s">
        <v>86</v>
      </c>
      <c r="M4" s="4" t="s">
        <v>136</v>
      </c>
      <c r="N4" s="4" t="s">
        <v>125</v>
      </c>
      <c r="O4" s="3" t="s">
        <v>5</v>
      </c>
      <c r="P4" s="3" t="s">
        <v>39</v>
      </c>
      <c r="Q4" s="3" t="s">
        <v>88</v>
      </c>
      <c r="R4" s="3" t="s">
        <v>89</v>
      </c>
      <c r="S4" s="4" t="s">
        <v>5</v>
      </c>
      <c r="T4" s="4" t="s">
        <v>39</v>
      </c>
      <c r="U4" s="4" t="s">
        <v>76</v>
      </c>
      <c r="V4" s="4" t="s">
        <v>126</v>
      </c>
      <c r="W4" s="3" t="s">
        <v>5</v>
      </c>
      <c r="X4" s="3" t="s">
        <v>39</v>
      </c>
      <c r="Y4" s="3" t="s">
        <v>72</v>
      </c>
      <c r="Z4" s="3" t="s">
        <v>73</v>
      </c>
      <c r="AA4" s="3" t="s">
        <v>74</v>
      </c>
      <c r="AB4" s="3" t="s">
        <v>72</v>
      </c>
      <c r="AC4" s="3" t="s">
        <v>73</v>
      </c>
      <c r="AD4" s="3" t="s">
        <v>74</v>
      </c>
      <c r="AE4" s="4" t="s">
        <v>5</v>
      </c>
      <c r="AF4" s="4" t="s">
        <v>39</v>
      </c>
      <c r="AG4" s="4" t="s">
        <v>81</v>
      </c>
      <c r="AH4" s="4" t="s">
        <v>82</v>
      </c>
      <c r="AI4" s="4" t="s">
        <v>81</v>
      </c>
      <c r="AJ4" s="4" t="s">
        <v>82</v>
      </c>
      <c r="AK4" s="4" t="s">
        <v>86</v>
      </c>
      <c r="AL4" s="4" t="s">
        <v>87</v>
      </c>
      <c r="AM4" s="3" t="s">
        <v>5</v>
      </c>
      <c r="AN4" s="3" t="s">
        <v>39</v>
      </c>
      <c r="AO4" s="3" t="s">
        <v>86</v>
      </c>
      <c r="AP4" s="3" t="s">
        <v>87</v>
      </c>
      <c r="AQ4" s="4" t="s">
        <v>5</v>
      </c>
      <c r="AR4" s="4" t="s">
        <v>14</v>
      </c>
      <c r="AS4" s="4" t="s">
        <v>86</v>
      </c>
      <c r="AT4" s="4" t="s">
        <v>87</v>
      </c>
      <c r="AU4" s="3" t="s">
        <v>5</v>
      </c>
      <c r="AV4" s="3" t="s">
        <v>39</v>
      </c>
      <c r="AW4" s="3" t="s">
        <v>95</v>
      </c>
      <c r="AX4" s="3" t="s">
        <v>96</v>
      </c>
      <c r="AY4" s="3" t="s">
        <v>97</v>
      </c>
      <c r="AZ4" s="3" t="s">
        <v>98</v>
      </c>
      <c r="BA4" s="3" t="s">
        <v>95</v>
      </c>
      <c r="BB4" s="3" t="s">
        <v>96</v>
      </c>
      <c r="BC4" s="3" t="s">
        <v>97</v>
      </c>
      <c r="BD4" s="3" t="s">
        <v>98</v>
      </c>
      <c r="BE4" s="4" t="s">
        <v>110</v>
      </c>
      <c r="BF4" s="4" t="s">
        <v>111</v>
      </c>
      <c r="BG4" s="4" t="s">
        <v>113</v>
      </c>
      <c r="BH4" s="4" t="s">
        <v>130</v>
      </c>
      <c r="BI4" s="4" t="s">
        <v>129</v>
      </c>
      <c r="BJ4" s="4" t="s">
        <v>131</v>
      </c>
      <c r="BK4" s="4" t="s">
        <v>128</v>
      </c>
      <c r="BL4" s="3" t="s">
        <v>155</v>
      </c>
      <c r="BM4" s="3" t="s">
        <v>134</v>
      </c>
      <c r="BN4" s="4" t="s">
        <v>5</v>
      </c>
      <c r="BO4" s="4" t="s">
        <v>120</v>
      </c>
      <c r="BP4" s="4" t="s">
        <v>121</v>
      </c>
      <c r="BQ4" s="3" t="s">
        <v>116</v>
      </c>
      <c r="BR4" s="3" t="s">
        <v>117</v>
      </c>
      <c r="BS4" s="4" t="s">
        <v>116</v>
      </c>
      <c r="BT4" s="4" t="s">
        <v>117</v>
      </c>
      <c r="BU4" s="3" t="s">
        <v>118</v>
      </c>
      <c r="BV4" s="3" t="s">
        <v>119</v>
      </c>
      <c r="BW4" s="4" t="s">
        <v>5</v>
      </c>
      <c r="BX4" s="4" t="s">
        <v>86</v>
      </c>
      <c r="BY4" s="4" t="s">
        <v>87</v>
      </c>
      <c r="BZ4" s="47" t="s">
        <v>5</v>
      </c>
      <c r="CA4" s="47" t="s">
        <v>86</v>
      </c>
      <c r="CB4" s="47" t="s">
        <v>87</v>
      </c>
      <c r="CC4" s="4"/>
      <c r="CD4" s="4"/>
    </row>
    <row r="5" spans="1:82" x14ac:dyDescent="0.25">
      <c r="A5">
        <v>1377.4</v>
      </c>
      <c r="B5">
        <v>299.60000000000002</v>
      </c>
      <c r="C5">
        <v>334.26</v>
      </c>
      <c r="D5" s="83">
        <f>A5/100</f>
        <v>13.774000000000001</v>
      </c>
      <c r="E5" s="83">
        <v>42870</v>
      </c>
      <c r="F5" s="83">
        <v>1.25</v>
      </c>
      <c r="G5" t="s">
        <v>30</v>
      </c>
      <c r="H5" s="19">
        <v>0.3</v>
      </c>
      <c r="I5" t="s">
        <v>35</v>
      </c>
      <c r="J5" t="s">
        <v>40</v>
      </c>
      <c r="K5" t="s">
        <v>181</v>
      </c>
      <c r="L5">
        <v>870</v>
      </c>
      <c r="M5">
        <v>250</v>
      </c>
      <c r="N5" s="12">
        <f t="shared" ref="N5:N30" si="1">1.1+(L5/jmfpris_vagg)/100</f>
        <v>1.1470270270270271</v>
      </c>
      <c r="O5">
        <v>1</v>
      </c>
      <c r="P5" t="s">
        <v>69</v>
      </c>
      <c r="Q5">
        <v>1050</v>
      </c>
      <c r="R5" s="84">
        <f>Q5*Prishöjningsfaktor_FPI*Moms</f>
        <v>18078.375</v>
      </c>
      <c r="S5" t="s">
        <v>40</v>
      </c>
      <c r="T5" t="s">
        <v>207</v>
      </c>
      <c r="U5" s="18">
        <v>140</v>
      </c>
      <c r="V5" s="12">
        <f t="shared" ref="V5:V10" si="2">1.1+(U5/140)/100</f>
        <v>1.1100000000000001</v>
      </c>
      <c r="W5" t="s">
        <v>40</v>
      </c>
      <c r="X5" t="s">
        <v>213</v>
      </c>
      <c r="Z5">
        <v>565</v>
      </c>
      <c r="AA5">
        <v>825</v>
      </c>
      <c r="AB5" s="9"/>
      <c r="AC5" s="12">
        <f t="shared" ref="AC5:AD10" si="3">1.1+(Z5/jmfpris_innertak)/100</f>
        <v>1.1353125000000002</v>
      </c>
      <c r="AD5" s="12">
        <f t="shared" si="3"/>
        <v>1.1515625</v>
      </c>
      <c r="AE5" t="s">
        <v>40</v>
      </c>
      <c r="AF5" t="s">
        <v>219</v>
      </c>
      <c r="AG5" s="17">
        <v>100</v>
      </c>
      <c r="AH5">
        <v>150</v>
      </c>
      <c r="AI5" s="12">
        <f t="shared" ref="AI5:AI13" si="4">1.1+(AG5/jmfpris_yttertak)/100</f>
        <v>1.1100000000000001</v>
      </c>
      <c r="AJ5" s="12">
        <f t="shared" ref="AJ5:AJ13" si="5">1.1+(AH5/jmfpris_yttertak)/100</f>
        <v>1.115</v>
      </c>
      <c r="AK5" s="11">
        <v>300</v>
      </c>
      <c r="AL5" s="11">
        <f>AK5*D5*F5</f>
        <v>5165.2500000000009</v>
      </c>
      <c r="AM5" t="s">
        <v>40</v>
      </c>
      <c r="AN5" t="s">
        <v>83</v>
      </c>
      <c r="AO5">
        <v>6500</v>
      </c>
      <c r="AP5" s="87">
        <f>AO5*Prishöjningsfaktor_FPI*Moms</f>
        <v>111913.75</v>
      </c>
      <c r="AQ5" t="s">
        <v>90</v>
      </c>
      <c r="AR5" t="s">
        <v>93</v>
      </c>
      <c r="AS5">
        <v>6500</v>
      </c>
      <c r="AT5" s="87">
        <f>AS5*Prishöjningsfaktor_FPI*Moms</f>
        <v>111913.75</v>
      </c>
      <c r="AU5" t="s">
        <v>40</v>
      </c>
      <c r="AV5" t="s">
        <v>230</v>
      </c>
      <c r="AW5">
        <v>135</v>
      </c>
      <c r="AX5">
        <v>140</v>
      </c>
      <c r="AY5">
        <v>180</v>
      </c>
      <c r="AZ5">
        <v>225</v>
      </c>
      <c r="BA5" s="84">
        <f>AW5*Prishöjningsfaktor_FPI*Moms</f>
        <v>2324.3625000000002</v>
      </c>
      <c r="BB5" s="84">
        <f t="shared" ref="BA5:BD14" si="6">AX5*Prishöjningsfaktor_FPI*Moms</f>
        <v>2410.4500000000003</v>
      </c>
      <c r="BC5" s="84">
        <f t="shared" si="6"/>
        <v>3099.15</v>
      </c>
      <c r="BD5" s="84">
        <f t="shared" si="6"/>
        <v>3873.9375</v>
      </c>
      <c r="BE5">
        <v>400</v>
      </c>
      <c r="BF5" s="7" t="s">
        <v>112</v>
      </c>
      <c r="BG5" s="7" t="s">
        <v>114</v>
      </c>
      <c r="BH5" s="7">
        <v>2500</v>
      </c>
      <c r="BI5" s="7">
        <v>1500</v>
      </c>
      <c r="BJ5" s="88">
        <f>BH5*Prishöjningsfaktor_FPI*Moms</f>
        <v>43043.75</v>
      </c>
      <c r="BK5" s="88">
        <f>BI5*Prishöjningsfaktor_FPI*Moms</f>
        <v>25826.25</v>
      </c>
      <c r="BL5" s="13">
        <v>2500</v>
      </c>
      <c r="BM5" s="88">
        <f>BL5*Prishöjningsfaktor_FPI*Moms</f>
        <v>43043.75</v>
      </c>
      <c r="BN5" s="7" t="s">
        <v>106</v>
      </c>
      <c r="BO5">
        <v>235000</v>
      </c>
      <c r="BP5" s="7" t="s">
        <v>115</v>
      </c>
      <c r="BQ5" t="s">
        <v>103</v>
      </c>
      <c r="BR5">
        <v>3000</v>
      </c>
      <c r="BS5" t="s">
        <v>103</v>
      </c>
      <c r="BT5">
        <v>1400</v>
      </c>
      <c r="BU5">
        <v>2500</v>
      </c>
      <c r="BV5" s="2">
        <f>BU5*D5*F5</f>
        <v>43043.75</v>
      </c>
      <c r="BW5" s="14" t="s">
        <v>21</v>
      </c>
      <c r="BX5" s="14">
        <v>10000</v>
      </c>
      <c r="BY5" s="84">
        <f t="shared" ref="BY5:BY10" si="7">BX5*Prishöjningsfaktor_FPI*Moms</f>
        <v>172175</v>
      </c>
      <c r="BZ5" t="s">
        <v>90</v>
      </c>
      <c r="CA5">
        <v>2200</v>
      </c>
      <c r="CB5" s="87">
        <f>CA5*Prishöjningsfaktor_FPI*Moms</f>
        <v>37878.5</v>
      </c>
      <c r="CC5" t="s">
        <v>255</v>
      </c>
      <c r="CD5" s="19">
        <v>1</v>
      </c>
    </row>
    <row r="6" spans="1:82" x14ac:dyDescent="0.25">
      <c r="G6" s="8" t="s">
        <v>31</v>
      </c>
      <c r="H6" s="20">
        <v>0.5</v>
      </c>
      <c r="I6" t="s">
        <v>35</v>
      </c>
      <c r="J6" t="s">
        <v>41</v>
      </c>
      <c r="K6" t="s">
        <v>182</v>
      </c>
      <c r="L6">
        <v>955</v>
      </c>
      <c r="M6">
        <v>250</v>
      </c>
      <c r="N6" s="12">
        <f>1.1+(L6/jmfpris_vagg)/100</f>
        <v>1.1516216216216217</v>
      </c>
      <c r="O6" s="8">
        <v>2</v>
      </c>
      <c r="P6" s="8" t="s">
        <v>70</v>
      </c>
      <c r="Q6" s="8">
        <v>2900</v>
      </c>
      <c r="R6" s="84">
        <f>Q6*Prishöjningsfaktor_FPI*Moms</f>
        <v>49930.750000000007</v>
      </c>
      <c r="S6" t="s">
        <v>41</v>
      </c>
      <c r="T6" t="s">
        <v>208</v>
      </c>
      <c r="U6">
        <v>255</v>
      </c>
      <c r="V6" s="12">
        <f t="shared" si="2"/>
        <v>1.1182142857142858</v>
      </c>
      <c r="W6" s="8" t="s">
        <v>42</v>
      </c>
      <c r="X6" s="8" t="s">
        <v>214</v>
      </c>
      <c r="Y6" s="8"/>
      <c r="Z6" s="8">
        <v>435</v>
      </c>
      <c r="AA6" s="8">
        <v>655</v>
      </c>
      <c r="AB6" s="10"/>
      <c r="AC6" s="12">
        <f t="shared" si="3"/>
        <v>1.1271875</v>
      </c>
      <c r="AD6" s="12">
        <f t="shared" si="3"/>
        <v>1.1409375000000002</v>
      </c>
      <c r="AE6" t="s">
        <v>41</v>
      </c>
      <c r="AF6" t="s">
        <v>220</v>
      </c>
      <c r="AG6">
        <v>120</v>
      </c>
      <c r="AH6">
        <v>180</v>
      </c>
      <c r="AI6" s="12">
        <f t="shared" si="4"/>
        <v>1.1120000000000001</v>
      </c>
      <c r="AJ6" s="12">
        <f t="shared" si="5"/>
        <v>1.1180000000000001</v>
      </c>
      <c r="AK6" s="12"/>
      <c r="AL6" s="12"/>
      <c r="AM6" t="s">
        <v>41</v>
      </c>
      <c r="AN6" t="s">
        <v>84</v>
      </c>
      <c r="AO6">
        <v>13000</v>
      </c>
      <c r="AP6" s="87">
        <f>AO6*Prishöjningsfaktor_FPI*Moms</f>
        <v>223827.5</v>
      </c>
      <c r="AQ6" t="s">
        <v>91</v>
      </c>
      <c r="AR6" t="s">
        <v>94</v>
      </c>
      <c r="AS6">
        <v>13000</v>
      </c>
      <c r="AT6" s="87">
        <f>AS6*Prishöjningsfaktor_FPI*Moms</f>
        <v>223827.5</v>
      </c>
      <c r="AU6" t="s">
        <v>41</v>
      </c>
      <c r="AV6" t="s">
        <v>231</v>
      </c>
      <c r="AW6">
        <v>150</v>
      </c>
      <c r="AX6">
        <v>165</v>
      </c>
      <c r="AY6">
        <v>190</v>
      </c>
      <c r="AZ6">
        <v>240</v>
      </c>
      <c r="BA6" s="84">
        <f t="shared" si="6"/>
        <v>2582.6250000000005</v>
      </c>
      <c r="BB6" s="84">
        <f t="shared" si="6"/>
        <v>2840.8874999999998</v>
      </c>
      <c r="BC6" s="84">
        <f t="shared" si="6"/>
        <v>3271.3250000000007</v>
      </c>
      <c r="BD6" s="84">
        <f t="shared" si="6"/>
        <v>4132.2000000000007</v>
      </c>
      <c r="BN6" t="s">
        <v>105</v>
      </c>
      <c r="BO6">
        <v>190000</v>
      </c>
      <c r="BP6" s="7" t="s">
        <v>115</v>
      </c>
      <c r="BQ6" t="s">
        <v>104</v>
      </c>
      <c r="BR6">
        <v>4800</v>
      </c>
      <c r="BS6" t="s">
        <v>104</v>
      </c>
      <c r="BT6">
        <v>3000</v>
      </c>
      <c r="BW6" s="14" t="s">
        <v>22</v>
      </c>
      <c r="BX6" s="14">
        <v>25000</v>
      </c>
      <c r="BY6" s="84">
        <f t="shared" si="7"/>
        <v>430437.5</v>
      </c>
      <c r="BZ6" t="s">
        <v>91</v>
      </c>
      <c r="CA6">
        <v>5200</v>
      </c>
      <c r="CB6" s="87">
        <f>CA6*Prishöjningsfaktor_FPI*Moms</f>
        <v>89531</v>
      </c>
      <c r="CC6" t="s">
        <v>243</v>
      </c>
      <c r="CD6" s="19">
        <v>1</v>
      </c>
    </row>
    <row r="7" spans="1:82" x14ac:dyDescent="0.25">
      <c r="G7" t="s">
        <v>32</v>
      </c>
      <c r="H7" s="19">
        <v>0.7</v>
      </c>
      <c r="I7" s="8" t="s">
        <v>35</v>
      </c>
      <c r="J7" s="8" t="s">
        <v>42</v>
      </c>
      <c r="K7" s="8" t="s">
        <v>183</v>
      </c>
      <c r="L7" s="8">
        <v>1045</v>
      </c>
      <c r="M7" s="8">
        <v>250</v>
      </c>
      <c r="N7" s="12">
        <f t="shared" si="1"/>
        <v>1.1564864864864866</v>
      </c>
      <c r="O7">
        <v>3</v>
      </c>
      <c r="P7" t="s">
        <v>71</v>
      </c>
      <c r="Q7">
        <v>5000</v>
      </c>
      <c r="R7" s="84">
        <f>Q7*Prishöjningsfaktor_FPI*Moms</f>
        <v>86087.5</v>
      </c>
      <c r="S7" s="8" t="s">
        <v>42</v>
      </c>
      <c r="T7" s="8" t="s">
        <v>209</v>
      </c>
      <c r="U7" s="8">
        <v>220</v>
      </c>
      <c r="V7" s="15">
        <f t="shared" si="2"/>
        <v>1.1157142857142859</v>
      </c>
      <c r="W7" s="8" t="s">
        <v>43</v>
      </c>
      <c r="X7" s="8" t="s">
        <v>215</v>
      </c>
      <c r="Y7" s="8"/>
      <c r="Z7" s="8">
        <v>480</v>
      </c>
      <c r="AA7" s="8">
        <v>695</v>
      </c>
      <c r="AB7" s="10"/>
      <c r="AC7" s="12">
        <f t="shared" si="3"/>
        <v>1.1300000000000001</v>
      </c>
      <c r="AD7" s="12">
        <f t="shared" si="3"/>
        <v>1.1434375000000001</v>
      </c>
      <c r="AE7" t="s">
        <v>77</v>
      </c>
      <c r="AF7" t="s">
        <v>221</v>
      </c>
      <c r="AG7">
        <v>170</v>
      </c>
      <c r="AH7">
        <v>255</v>
      </c>
      <c r="AI7" s="12">
        <f t="shared" si="4"/>
        <v>1.117</v>
      </c>
      <c r="AJ7" s="12">
        <f t="shared" si="5"/>
        <v>1.1255000000000002</v>
      </c>
      <c r="AK7" s="12"/>
      <c r="AL7" s="12"/>
      <c r="AM7" t="s">
        <v>77</v>
      </c>
      <c r="AN7" t="s">
        <v>85</v>
      </c>
      <c r="AO7">
        <v>33000</v>
      </c>
      <c r="AP7" s="87">
        <f>AO7*Prishöjningsfaktor_FPI*Moms</f>
        <v>568177.50000000012</v>
      </c>
      <c r="AU7" t="s">
        <v>77</v>
      </c>
      <c r="AV7" t="s">
        <v>232</v>
      </c>
      <c r="AW7">
        <v>135</v>
      </c>
      <c r="AX7">
        <v>140</v>
      </c>
      <c r="AY7">
        <v>180</v>
      </c>
      <c r="AZ7">
        <v>225</v>
      </c>
      <c r="BA7" s="84">
        <f t="shared" si="6"/>
        <v>2324.3625000000002</v>
      </c>
      <c r="BB7" s="84">
        <f t="shared" si="6"/>
        <v>2410.4500000000003</v>
      </c>
      <c r="BC7" s="84">
        <f t="shared" si="6"/>
        <v>3099.15</v>
      </c>
      <c r="BD7" s="84">
        <f t="shared" si="6"/>
        <v>3873.9375</v>
      </c>
      <c r="BW7" s="14" t="s">
        <v>133</v>
      </c>
      <c r="BX7" s="14">
        <v>70000</v>
      </c>
      <c r="BY7" s="84">
        <f t="shared" si="7"/>
        <v>1205225.0000000002</v>
      </c>
      <c r="BZ7" t="s">
        <v>92</v>
      </c>
      <c r="CA7">
        <v>15200</v>
      </c>
      <c r="CB7" s="87">
        <f>CA7*Prishöjningsfaktor_FPI*Moms</f>
        <v>261706.00000000003</v>
      </c>
      <c r="CC7" t="s">
        <v>244</v>
      </c>
      <c r="CD7" s="19">
        <v>1.75</v>
      </c>
    </row>
    <row r="8" spans="1:82" x14ac:dyDescent="0.25">
      <c r="G8" t="s">
        <v>180</v>
      </c>
      <c r="H8" s="19">
        <v>2.25</v>
      </c>
      <c r="I8" s="8" t="s">
        <v>35</v>
      </c>
      <c r="J8" s="8" t="s">
        <v>43</v>
      </c>
      <c r="K8" s="8" t="s">
        <v>184</v>
      </c>
      <c r="L8" s="8">
        <v>870</v>
      </c>
      <c r="M8" s="8">
        <v>250</v>
      </c>
      <c r="N8" s="12">
        <f t="shared" si="1"/>
        <v>1.1470270270270271</v>
      </c>
      <c r="S8" s="8" t="s">
        <v>43</v>
      </c>
      <c r="T8" s="8" t="s">
        <v>210</v>
      </c>
      <c r="U8" s="8">
        <v>325</v>
      </c>
      <c r="V8" s="15">
        <f t="shared" si="2"/>
        <v>1.1232142857142857</v>
      </c>
      <c r="W8" t="s">
        <v>44</v>
      </c>
      <c r="X8" t="s">
        <v>216</v>
      </c>
      <c r="Y8" s="18">
        <v>160</v>
      </c>
      <c r="Z8" s="18">
        <v>250</v>
      </c>
      <c r="AA8" s="18">
        <v>325</v>
      </c>
      <c r="AB8" s="9">
        <f>Y8/jmfpris_innertak</f>
        <v>1</v>
      </c>
      <c r="AC8" s="12">
        <f t="shared" si="3"/>
        <v>1.1156250000000001</v>
      </c>
      <c r="AD8" s="12">
        <f t="shared" si="3"/>
        <v>1.1203125</v>
      </c>
      <c r="AE8" s="8" t="s">
        <v>42</v>
      </c>
      <c r="AF8" s="8" t="s">
        <v>222</v>
      </c>
      <c r="AG8" s="8">
        <v>120</v>
      </c>
      <c r="AH8" s="8">
        <v>180</v>
      </c>
      <c r="AI8" s="15">
        <f t="shared" si="4"/>
        <v>1.1120000000000001</v>
      </c>
      <c r="AJ8" s="15">
        <f t="shared" si="5"/>
        <v>1.1180000000000001</v>
      </c>
      <c r="AK8" s="16"/>
      <c r="AL8" s="16"/>
      <c r="AU8" t="s">
        <v>99</v>
      </c>
      <c r="AV8" t="s">
        <v>233</v>
      </c>
      <c r="AW8">
        <v>150</v>
      </c>
      <c r="AX8">
        <v>165</v>
      </c>
      <c r="AY8">
        <v>190</v>
      </c>
      <c r="AZ8">
        <v>240</v>
      </c>
      <c r="BA8" s="84">
        <f t="shared" si="6"/>
        <v>2582.6250000000005</v>
      </c>
      <c r="BB8" s="84">
        <f t="shared" si="6"/>
        <v>2840.8874999999998</v>
      </c>
      <c r="BC8" s="84">
        <f t="shared" si="6"/>
        <v>3271.3250000000007</v>
      </c>
      <c r="BD8" s="84">
        <f t="shared" si="6"/>
        <v>4132.2000000000007</v>
      </c>
      <c r="BW8" s="14" t="s">
        <v>24</v>
      </c>
      <c r="BX8" s="14">
        <v>15000</v>
      </c>
      <c r="BY8" s="84">
        <f t="shared" si="7"/>
        <v>258262.5</v>
      </c>
      <c r="CC8" t="s">
        <v>245</v>
      </c>
      <c r="CD8" s="19">
        <v>1.5</v>
      </c>
    </row>
    <row r="9" spans="1:82" x14ac:dyDescent="0.25">
      <c r="I9" t="s">
        <v>36</v>
      </c>
      <c r="J9" t="s">
        <v>44</v>
      </c>
      <c r="K9" t="s">
        <v>185</v>
      </c>
      <c r="L9">
        <v>330</v>
      </c>
      <c r="M9">
        <v>250</v>
      </c>
      <c r="N9" s="12">
        <f t="shared" si="1"/>
        <v>1.117837837837838</v>
      </c>
      <c r="S9" t="s">
        <v>44</v>
      </c>
      <c r="T9" t="s">
        <v>211</v>
      </c>
      <c r="U9">
        <v>220</v>
      </c>
      <c r="V9" s="12">
        <f t="shared" si="2"/>
        <v>1.1157142857142859</v>
      </c>
      <c r="W9" t="s">
        <v>45</v>
      </c>
      <c r="X9" t="s">
        <v>217</v>
      </c>
      <c r="Y9">
        <v>195</v>
      </c>
      <c r="Z9">
        <v>290</v>
      </c>
      <c r="AA9">
        <v>390</v>
      </c>
      <c r="AB9" s="9">
        <f>Y9/jmfpris_innertak</f>
        <v>1.21875</v>
      </c>
      <c r="AC9" s="12">
        <f t="shared" si="3"/>
        <v>1.118125</v>
      </c>
      <c r="AD9" s="12">
        <f t="shared" si="3"/>
        <v>1.1243750000000001</v>
      </c>
      <c r="AE9" s="8" t="s">
        <v>43</v>
      </c>
      <c r="AF9" s="8" t="s">
        <v>223</v>
      </c>
      <c r="AG9" s="8">
        <v>325</v>
      </c>
      <c r="AH9" s="8">
        <v>485</v>
      </c>
      <c r="AI9" s="15">
        <f t="shared" si="4"/>
        <v>1.1325000000000001</v>
      </c>
      <c r="AJ9" s="15">
        <f t="shared" si="5"/>
        <v>1.1485000000000001</v>
      </c>
      <c r="AK9" s="16"/>
      <c r="AL9" s="16"/>
      <c r="AU9" s="8" t="s">
        <v>42</v>
      </c>
      <c r="AV9" s="8" t="s">
        <v>234</v>
      </c>
      <c r="AW9" s="8">
        <v>190</v>
      </c>
      <c r="AX9" s="8">
        <v>200</v>
      </c>
      <c r="AY9" s="8">
        <v>215</v>
      </c>
      <c r="AZ9" s="8">
        <v>280</v>
      </c>
      <c r="BA9" s="84">
        <f t="shared" si="6"/>
        <v>3271.3250000000007</v>
      </c>
      <c r="BB9" s="84">
        <f t="shared" si="6"/>
        <v>3443.5</v>
      </c>
      <c r="BC9" s="84">
        <f t="shared" si="6"/>
        <v>3701.7625000000003</v>
      </c>
      <c r="BD9" s="84">
        <f t="shared" si="6"/>
        <v>4820.9000000000005</v>
      </c>
      <c r="BW9" s="14" t="s">
        <v>25</v>
      </c>
      <c r="BX9" s="14">
        <v>60000</v>
      </c>
      <c r="BY9" s="84">
        <f t="shared" si="7"/>
        <v>1033050</v>
      </c>
      <c r="CC9" t="s">
        <v>249</v>
      </c>
      <c r="CD9" s="19">
        <v>1</v>
      </c>
    </row>
    <row r="10" spans="1:82" x14ac:dyDescent="0.25">
      <c r="I10" t="s">
        <v>36</v>
      </c>
      <c r="J10" t="s">
        <v>45</v>
      </c>
      <c r="K10" t="s">
        <v>186</v>
      </c>
      <c r="L10">
        <v>435</v>
      </c>
      <c r="M10">
        <v>250</v>
      </c>
      <c r="N10" s="12">
        <f t="shared" si="1"/>
        <v>1.1235135135135137</v>
      </c>
      <c r="S10" s="8" t="s">
        <v>46</v>
      </c>
      <c r="T10" s="8" t="s">
        <v>212</v>
      </c>
      <c r="U10" s="8">
        <v>185</v>
      </c>
      <c r="V10" s="15">
        <f t="shared" si="2"/>
        <v>1.1132142857142857</v>
      </c>
      <c r="W10" t="s">
        <v>75</v>
      </c>
      <c r="X10" t="s">
        <v>218</v>
      </c>
      <c r="Y10">
        <v>240</v>
      </c>
      <c r="Z10">
        <v>360</v>
      </c>
      <c r="AA10">
        <v>480</v>
      </c>
      <c r="AB10" s="9">
        <f>Y10/jmfpris_innertak</f>
        <v>1.5</v>
      </c>
      <c r="AC10" s="12">
        <f t="shared" si="3"/>
        <v>1.1225000000000001</v>
      </c>
      <c r="AD10" s="12">
        <f t="shared" si="3"/>
        <v>1.1300000000000001</v>
      </c>
      <c r="AE10" s="8" t="s">
        <v>78</v>
      </c>
      <c r="AF10" s="8" t="s">
        <v>224</v>
      </c>
      <c r="AG10" s="8">
        <v>240</v>
      </c>
      <c r="AH10" s="8">
        <v>360</v>
      </c>
      <c r="AI10" s="15">
        <f t="shared" si="4"/>
        <v>1.1240000000000001</v>
      </c>
      <c r="AJ10" s="15">
        <f t="shared" si="5"/>
        <v>1.1360000000000001</v>
      </c>
      <c r="AK10" s="16"/>
      <c r="AL10" s="16"/>
      <c r="AU10" s="8" t="s">
        <v>43</v>
      </c>
      <c r="AV10" s="8" t="s">
        <v>235</v>
      </c>
      <c r="AW10" s="8">
        <v>165</v>
      </c>
      <c r="AX10" s="8">
        <v>175</v>
      </c>
      <c r="AY10" s="8">
        <v>200</v>
      </c>
      <c r="AZ10" s="8">
        <v>260</v>
      </c>
      <c r="BA10" s="84">
        <f t="shared" si="6"/>
        <v>2840.8874999999998</v>
      </c>
      <c r="BB10" s="84">
        <f t="shared" si="6"/>
        <v>3013.0625000000005</v>
      </c>
      <c r="BC10" s="84">
        <f t="shared" si="6"/>
        <v>3443.5</v>
      </c>
      <c r="BD10" s="84">
        <f t="shared" si="6"/>
        <v>4476.55</v>
      </c>
      <c r="BW10" s="14" t="s">
        <v>26</v>
      </c>
      <c r="BX10" s="14">
        <v>8000</v>
      </c>
      <c r="BY10" s="84">
        <f t="shared" si="7"/>
        <v>137740</v>
      </c>
      <c r="CC10" t="s">
        <v>250</v>
      </c>
      <c r="CD10" s="19">
        <v>1.5</v>
      </c>
    </row>
    <row r="11" spans="1:82" x14ac:dyDescent="0.25">
      <c r="I11" s="8" t="s">
        <v>37</v>
      </c>
      <c r="J11" s="8" t="s">
        <v>46</v>
      </c>
      <c r="K11" s="8" t="s">
        <v>187</v>
      </c>
      <c r="L11" s="8">
        <v>250</v>
      </c>
      <c r="M11" s="8">
        <v>250</v>
      </c>
      <c r="N11" s="12">
        <f t="shared" si="1"/>
        <v>1.1135135135135137</v>
      </c>
      <c r="AB11" s="83">
        <v>5</v>
      </c>
      <c r="AC11" s="83">
        <v>6</v>
      </c>
      <c r="AD11" s="83">
        <v>7</v>
      </c>
      <c r="AE11" s="8" t="s">
        <v>79</v>
      </c>
      <c r="AF11" s="8" t="s">
        <v>225</v>
      </c>
      <c r="AG11" s="8">
        <v>280</v>
      </c>
      <c r="AH11" s="8">
        <v>420</v>
      </c>
      <c r="AI11" s="15">
        <f t="shared" si="4"/>
        <v>1.1280000000000001</v>
      </c>
      <c r="AJ11" s="15">
        <f t="shared" si="5"/>
        <v>1.1420000000000001</v>
      </c>
      <c r="AK11" s="16"/>
      <c r="AL11" s="16"/>
      <c r="AU11" s="8" t="s">
        <v>78</v>
      </c>
      <c r="AV11" s="8" t="s">
        <v>236</v>
      </c>
      <c r="AW11" s="8">
        <v>175</v>
      </c>
      <c r="AX11" s="8">
        <v>190</v>
      </c>
      <c r="AY11" s="8">
        <v>210</v>
      </c>
      <c r="AZ11" s="8">
        <v>270</v>
      </c>
      <c r="BA11" s="84">
        <f t="shared" si="6"/>
        <v>3013.0625000000005</v>
      </c>
      <c r="BB11" s="84">
        <f t="shared" si="6"/>
        <v>3271.3250000000007</v>
      </c>
      <c r="BC11" s="84">
        <f t="shared" si="6"/>
        <v>3615.6750000000002</v>
      </c>
      <c r="BD11" s="84">
        <f t="shared" si="6"/>
        <v>4648.7250000000004</v>
      </c>
      <c r="BY11" s="11"/>
      <c r="CC11" t="s">
        <v>251</v>
      </c>
      <c r="CD11" s="19">
        <v>1.25</v>
      </c>
    </row>
    <row r="12" spans="1:82" x14ac:dyDescent="0.25">
      <c r="I12" t="s">
        <v>38</v>
      </c>
      <c r="J12" t="s">
        <v>47</v>
      </c>
      <c r="K12" t="s">
        <v>188</v>
      </c>
      <c r="L12">
        <v>250</v>
      </c>
      <c r="M12">
        <v>250</v>
      </c>
      <c r="N12" s="12">
        <f t="shared" si="1"/>
        <v>1.1135135135135137</v>
      </c>
      <c r="AE12" t="s">
        <v>44</v>
      </c>
      <c r="AF12" t="s">
        <v>226</v>
      </c>
      <c r="AG12">
        <v>150</v>
      </c>
      <c r="AH12">
        <v>225</v>
      </c>
      <c r="AI12" s="12">
        <f t="shared" si="4"/>
        <v>1.115</v>
      </c>
      <c r="AJ12" s="12">
        <f t="shared" si="5"/>
        <v>1.1225000000000001</v>
      </c>
      <c r="AK12" s="16"/>
      <c r="AL12" s="16"/>
      <c r="AU12" t="s">
        <v>44</v>
      </c>
      <c r="AV12" t="s">
        <v>237</v>
      </c>
      <c r="AW12">
        <v>215</v>
      </c>
      <c r="AX12">
        <v>235</v>
      </c>
      <c r="AY12">
        <v>255</v>
      </c>
      <c r="AZ12">
        <v>315</v>
      </c>
      <c r="BA12" s="84">
        <f t="shared" si="6"/>
        <v>3701.7625000000003</v>
      </c>
      <c r="BB12" s="84">
        <f t="shared" si="6"/>
        <v>4046.1125000000002</v>
      </c>
      <c r="BC12" s="84">
        <f t="shared" si="6"/>
        <v>4390.4625000000005</v>
      </c>
      <c r="BD12" s="84">
        <f t="shared" si="6"/>
        <v>5423.5125000000007</v>
      </c>
      <c r="CC12" t="s">
        <v>252</v>
      </c>
      <c r="CD12" s="19">
        <v>1.2</v>
      </c>
    </row>
    <row r="13" spans="1:82" x14ac:dyDescent="0.25">
      <c r="I13" t="s">
        <v>38</v>
      </c>
      <c r="J13" t="s">
        <v>49</v>
      </c>
      <c r="K13" t="s">
        <v>189</v>
      </c>
      <c r="L13">
        <v>270</v>
      </c>
      <c r="M13">
        <v>250</v>
      </c>
      <c r="N13" s="12">
        <f t="shared" si="1"/>
        <v>1.1145945945945948</v>
      </c>
      <c r="AE13" t="s">
        <v>45</v>
      </c>
      <c r="AF13" t="s">
        <v>227</v>
      </c>
      <c r="AG13">
        <v>240</v>
      </c>
      <c r="AH13">
        <v>380</v>
      </c>
      <c r="AI13" s="12">
        <f t="shared" si="4"/>
        <v>1.1240000000000001</v>
      </c>
      <c r="AJ13" s="12">
        <f t="shared" si="5"/>
        <v>1.1380000000000001</v>
      </c>
      <c r="AK13" s="16"/>
      <c r="AL13" s="16"/>
      <c r="AU13" t="s">
        <v>45</v>
      </c>
      <c r="AV13" t="s">
        <v>238</v>
      </c>
      <c r="AW13">
        <v>200</v>
      </c>
      <c r="AX13">
        <v>215</v>
      </c>
      <c r="AY13">
        <v>240</v>
      </c>
      <c r="AZ13">
        <v>300</v>
      </c>
      <c r="BA13" s="84">
        <f t="shared" si="6"/>
        <v>3443.5</v>
      </c>
      <c r="BB13" s="84">
        <f t="shared" si="6"/>
        <v>3701.7625000000003</v>
      </c>
      <c r="BC13" s="84">
        <f t="shared" si="6"/>
        <v>4132.2000000000007</v>
      </c>
      <c r="BD13" s="84">
        <f t="shared" si="6"/>
        <v>5165.2500000000009</v>
      </c>
      <c r="CC13" t="s">
        <v>253</v>
      </c>
      <c r="CD13" s="19">
        <v>0.9</v>
      </c>
    </row>
    <row r="14" spans="1:82" x14ac:dyDescent="0.25">
      <c r="I14" t="s">
        <v>38</v>
      </c>
      <c r="J14" t="s">
        <v>48</v>
      </c>
      <c r="K14" t="s">
        <v>190</v>
      </c>
      <c r="L14">
        <v>300</v>
      </c>
      <c r="M14">
        <v>250</v>
      </c>
      <c r="N14" s="12">
        <f t="shared" si="1"/>
        <v>1.1162162162162164</v>
      </c>
      <c r="AE14" s="8" t="s">
        <v>46</v>
      </c>
      <c r="AF14" s="8" t="s">
        <v>228</v>
      </c>
      <c r="AG14" s="8">
        <v>220</v>
      </c>
      <c r="AH14" s="8"/>
      <c r="AI14" s="15">
        <f>1.1+(AG14/jmfpris_yttertak)/100</f>
        <v>1.1220000000000001</v>
      </c>
      <c r="AJ14" s="15"/>
      <c r="AK14" s="16"/>
      <c r="AL14" s="16"/>
      <c r="AU14" t="s">
        <v>75</v>
      </c>
      <c r="AV14" t="s">
        <v>239</v>
      </c>
      <c r="AW14">
        <v>210</v>
      </c>
      <c r="AX14">
        <v>235</v>
      </c>
      <c r="AY14">
        <v>255</v>
      </c>
      <c r="AZ14">
        <v>315</v>
      </c>
      <c r="BA14" s="84">
        <f t="shared" si="6"/>
        <v>3615.6750000000002</v>
      </c>
      <c r="BB14" s="84">
        <f t="shared" si="6"/>
        <v>4046.1125000000002</v>
      </c>
      <c r="BC14" s="84">
        <f t="shared" si="6"/>
        <v>4390.4625000000005</v>
      </c>
      <c r="BD14" s="84">
        <f t="shared" si="6"/>
        <v>5423.5125000000007</v>
      </c>
    </row>
    <row r="15" spans="1:82" x14ac:dyDescent="0.25">
      <c r="I15" t="s">
        <v>38</v>
      </c>
      <c r="J15" t="s">
        <v>50</v>
      </c>
      <c r="K15" t="s">
        <v>191</v>
      </c>
      <c r="L15">
        <v>320</v>
      </c>
      <c r="M15">
        <v>250</v>
      </c>
      <c r="N15" s="12">
        <f t="shared" si="1"/>
        <v>1.1172972972972974</v>
      </c>
      <c r="AE15" t="s">
        <v>47</v>
      </c>
      <c r="AF15" t="s">
        <v>229</v>
      </c>
      <c r="AG15">
        <v>175</v>
      </c>
      <c r="AH15">
        <v>260</v>
      </c>
      <c r="AI15" s="12">
        <f>1.1+(AG15/jmfpris_yttertak)/100</f>
        <v>1.1175000000000002</v>
      </c>
      <c r="AJ15" s="12">
        <f>1.1+(AH15/jmfpris_yttertak)/100</f>
        <v>1.1260000000000001</v>
      </c>
      <c r="AK15" s="12"/>
      <c r="AL15" s="12"/>
    </row>
    <row r="16" spans="1:82" x14ac:dyDescent="0.25">
      <c r="I16" t="s">
        <v>38</v>
      </c>
      <c r="J16" t="s">
        <v>51</v>
      </c>
      <c r="K16" t="s">
        <v>192</v>
      </c>
      <c r="L16">
        <v>330</v>
      </c>
      <c r="M16">
        <v>250</v>
      </c>
      <c r="N16" s="12">
        <f t="shared" si="1"/>
        <v>1.117837837837838</v>
      </c>
      <c r="CC16" t="s">
        <v>254</v>
      </c>
    </row>
    <row r="17" spans="9:14" x14ac:dyDescent="0.25">
      <c r="I17" s="8" t="s">
        <v>55</v>
      </c>
      <c r="J17" s="8" t="s">
        <v>52</v>
      </c>
      <c r="K17" s="8" t="s">
        <v>193</v>
      </c>
      <c r="L17" s="8">
        <v>285</v>
      </c>
      <c r="M17" s="8">
        <v>250</v>
      </c>
      <c r="N17" s="12">
        <f t="shared" si="1"/>
        <v>1.1154054054054054</v>
      </c>
    </row>
    <row r="18" spans="9:14" x14ac:dyDescent="0.25">
      <c r="I18" s="8" t="s">
        <v>55</v>
      </c>
      <c r="J18" s="8" t="s">
        <v>53</v>
      </c>
      <c r="K18" s="8" t="s">
        <v>194</v>
      </c>
      <c r="L18" s="8">
        <v>305</v>
      </c>
      <c r="M18" s="8">
        <v>250</v>
      </c>
      <c r="N18" s="12">
        <f t="shared" si="1"/>
        <v>1.1164864864864865</v>
      </c>
    </row>
    <row r="19" spans="9:14" x14ac:dyDescent="0.25">
      <c r="I19" s="8" t="s">
        <v>55</v>
      </c>
      <c r="J19" s="8" t="s">
        <v>54</v>
      </c>
      <c r="K19" s="8" t="s">
        <v>195</v>
      </c>
      <c r="L19" s="8">
        <v>315</v>
      </c>
      <c r="M19" s="8">
        <v>250</v>
      </c>
      <c r="N19" s="12">
        <f t="shared" si="1"/>
        <v>1.1170270270270271</v>
      </c>
    </row>
    <row r="20" spans="9:14" x14ac:dyDescent="0.25">
      <c r="I20" t="s">
        <v>56</v>
      </c>
      <c r="J20" t="s">
        <v>57</v>
      </c>
      <c r="K20" t="s">
        <v>196</v>
      </c>
      <c r="L20">
        <v>185</v>
      </c>
      <c r="M20">
        <v>250</v>
      </c>
      <c r="N20" s="12">
        <f t="shared" si="1"/>
        <v>1.1100000000000001</v>
      </c>
    </row>
    <row r="21" spans="9:14" x14ac:dyDescent="0.25">
      <c r="I21" t="s">
        <v>56</v>
      </c>
      <c r="J21" t="s">
        <v>58</v>
      </c>
      <c r="K21" t="s">
        <v>197</v>
      </c>
      <c r="L21">
        <v>225</v>
      </c>
      <c r="M21">
        <v>250</v>
      </c>
      <c r="N21" s="12">
        <f t="shared" si="1"/>
        <v>1.1121621621621622</v>
      </c>
    </row>
    <row r="22" spans="9:14" x14ac:dyDescent="0.25">
      <c r="I22" t="s">
        <v>56</v>
      </c>
      <c r="J22" t="s">
        <v>59</v>
      </c>
      <c r="K22" t="s">
        <v>198</v>
      </c>
      <c r="L22">
        <v>260</v>
      </c>
      <c r="M22">
        <v>250</v>
      </c>
      <c r="N22" s="12">
        <f t="shared" si="1"/>
        <v>1.1140540540540542</v>
      </c>
    </row>
    <row r="23" spans="9:14" x14ac:dyDescent="0.25">
      <c r="I23" t="s">
        <v>56</v>
      </c>
      <c r="J23" t="s">
        <v>60</v>
      </c>
      <c r="K23" t="s">
        <v>199</v>
      </c>
      <c r="L23">
        <v>285</v>
      </c>
      <c r="M23">
        <v>250</v>
      </c>
      <c r="N23" s="12">
        <f t="shared" si="1"/>
        <v>1.1154054054054054</v>
      </c>
    </row>
    <row r="24" spans="9:14" x14ac:dyDescent="0.25">
      <c r="I24" s="8" t="s">
        <v>56</v>
      </c>
      <c r="J24" s="8" t="s">
        <v>61</v>
      </c>
      <c r="K24" s="8" t="s">
        <v>200</v>
      </c>
      <c r="L24" s="8">
        <v>230</v>
      </c>
      <c r="M24" s="8">
        <v>250</v>
      </c>
      <c r="N24" s="12">
        <f t="shared" si="1"/>
        <v>1.1124324324324326</v>
      </c>
    </row>
    <row r="25" spans="9:14" x14ac:dyDescent="0.25">
      <c r="I25" s="8" t="s">
        <v>56</v>
      </c>
      <c r="J25" s="8" t="s">
        <v>62</v>
      </c>
      <c r="K25" s="8" t="s">
        <v>201</v>
      </c>
      <c r="L25" s="8">
        <v>245</v>
      </c>
      <c r="M25" s="8">
        <v>250</v>
      </c>
      <c r="N25" s="12">
        <f t="shared" si="1"/>
        <v>1.1132432432432433</v>
      </c>
    </row>
    <row r="26" spans="9:14" x14ac:dyDescent="0.25">
      <c r="I26" s="8" t="s">
        <v>56</v>
      </c>
      <c r="J26" s="8" t="s">
        <v>63</v>
      </c>
      <c r="K26" s="8" t="s">
        <v>202</v>
      </c>
      <c r="L26" s="8">
        <v>300</v>
      </c>
      <c r="M26" s="8">
        <v>250</v>
      </c>
      <c r="N26" s="12">
        <f t="shared" si="1"/>
        <v>1.1162162162162164</v>
      </c>
    </row>
    <row r="27" spans="9:14" x14ac:dyDescent="0.25">
      <c r="I27" s="8" t="s">
        <v>56</v>
      </c>
      <c r="J27" s="8" t="s">
        <v>64</v>
      </c>
      <c r="K27" s="8" t="s">
        <v>203</v>
      </c>
      <c r="L27" s="8">
        <v>340</v>
      </c>
      <c r="M27" s="8">
        <v>250</v>
      </c>
      <c r="N27" s="12">
        <f t="shared" si="1"/>
        <v>1.1183783783783785</v>
      </c>
    </row>
    <row r="28" spans="9:14" x14ac:dyDescent="0.25">
      <c r="I28" s="8" t="s">
        <v>56</v>
      </c>
      <c r="J28" s="8" t="s">
        <v>65</v>
      </c>
      <c r="K28" s="8" t="s">
        <v>204</v>
      </c>
      <c r="L28" s="8">
        <v>370</v>
      </c>
      <c r="M28" s="8">
        <v>250</v>
      </c>
      <c r="N28" s="12">
        <f t="shared" si="1"/>
        <v>1.1200000000000001</v>
      </c>
    </row>
    <row r="29" spans="9:14" x14ac:dyDescent="0.25">
      <c r="I29" s="8" t="s">
        <v>56</v>
      </c>
      <c r="J29" s="8" t="s">
        <v>66</v>
      </c>
      <c r="K29" s="8" t="s">
        <v>205</v>
      </c>
      <c r="L29" s="8">
        <v>330</v>
      </c>
      <c r="M29" s="8">
        <v>250</v>
      </c>
      <c r="N29" s="12">
        <f t="shared" si="1"/>
        <v>1.117837837837838</v>
      </c>
    </row>
    <row r="30" spans="9:14" x14ac:dyDescent="0.25">
      <c r="I30" s="8" t="s">
        <v>56</v>
      </c>
      <c r="J30" s="8" t="s">
        <v>67</v>
      </c>
      <c r="K30" s="8" t="s">
        <v>206</v>
      </c>
      <c r="L30" s="8">
        <v>400</v>
      </c>
      <c r="M30" s="8">
        <v>250</v>
      </c>
      <c r="N30" s="12">
        <f t="shared" si="1"/>
        <v>1.1216216216216217</v>
      </c>
    </row>
  </sheetData>
  <phoneticPr fontId="5" type="noConversion"/>
  <dataValidations disablePrompts="1" count="1">
    <dataValidation type="list" allowBlank="1" showInputMessage="1" showErrorMessage="1" sqref="AB19" xr:uid="{81FA3817-5029-4E85-B009-42D1A0154D3B}">
      <formula1>$Z$18:$Z$21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Mall</vt:lpstr>
      <vt:lpstr>Data</vt:lpstr>
      <vt:lpstr>BPI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 Lönn Stråle</cp:lastModifiedBy>
  <dcterms:created xsi:type="dcterms:W3CDTF">2021-01-19T14:37:42Z</dcterms:created>
  <dcterms:modified xsi:type="dcterms:W3CDTF">2021-07-14T14:19:14Z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</Properties>
</file>