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Arnull/Documents/PhD/RO2 2022/"/>
    </mc:Choice>
  </mc:AlternateContent>
  <xr:revisionPtr revIDLastSave="0" documentId="13_ncr:1_{58A84DAD-25DC-AF45-B187-9600AE3F152D}" xr6:coauthVersionLast="47" xr6:coauthVersionMax="47" xr10:uidLastSave="{00000000-0000-0000-0000-000000000000}"/>
  <bookViews>
    <workbookView xWindow="5080" yWindow="500" windowWidth="26420" windowHeight="16380" activeTab="5" xr2:uid="{883EF7EF-DBEB-BD4D-A485-DE02B87955C3}"/>
  </bookViews>
  <sheets>
    <sheet name="Data tables" sheetId="3" r:id="rId1"/>
    <sheet name="Plot characteristics" sheetId="6" r:id="rId2"/>
    <sheet name="Grain size data" sheetId="5" r:id="rId3"/>
    <sheet name="Sediment CN data" sheetId="4" r:id="rId4"/>
    <sheet name="Water quality data" sheetId="2" r:id="rId5"/>
    <sheet name="Sheet3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2" i="6" l="1"/>
  <c r="C92" i="6"/>
  <c r="C91" i="6"/>
  <c r="C14" i="5"/>
  <c r="C15" i="5"/>
  <c r="P77" i="6"/>
  <c r="P76" i="6"/>
  <c r="Q73" i="6"/>
  <c r="P73" i="6"/>
  <c r="Q72" i="6"/>
  <c r="E92" i="6"/>
  <c r="E91" i="6"/>
  <c r="D15" i="5"/>
  <c r="D14" i="5"/>
  <c r="AR104" i="8"/>
  <c r="AR103" i="8"/>
  <c r="AR102" i="8"/>
  <c r="AR101" i="8"/>
  <c r="AR100" i="8"/>
  <c r="AR99" i="8"/>
  <c r="AR98" i="8"/>
  <c r="AR97" i="8"/>
  <c r="AR96" i="8"/>
  <c r="AR95" i="8"/>
  <c r="AR94" i="8"/>
  <c r="AR93" i="8"/>
  <c r="AR92" i="8"/>
  <c r="AR91" i="8"/>
  <c r="AR90" i="8"/>
  <c r="AR89" i="8"/>
  <c r="AR88" i="8"/>
  <c r="AR87" i="8"/>
  <c r="AR86" i="8"/>
  <c r="AR85" i="8"/>
  <c r="AR84" i="8"/>
  <c r="AR83" i="8"/>
  <c r="AR82" i="8"/>
  <c r="AR81" i="8"/>
  <c r="AR80" i="8"/>
  <c r="AR79" i="8"/>
  <c r="AR78" i="8"/>
  <c r="AR77" i="8"/>
  <c r="AR76" i="8"/>
  <c r="AR75" i="8"/>
  <c r="AR74" i="8"/>
  <c r="AR73" i="8"/>
  <c r="AR72" i="8"/>
  <c r="AR71" i="8"/>
  <c r="AR70" i="8"/>
  <c r="AR69" i="8"/>
  <c r="AR68" i="8"/>
  <c r="AR67" i="8"/>
  <c r="AR66" i="8"/>
  <c r="AR65" i="8"/>
  <c r="AR64" i="8"/>
  <c r="AR63" i="8"/>
  <c r="AR62" i="8"/>
  <c r="AR61" i="8"/>
  <c r="AR60" i="8"/>
  <c r="AR59" i="8"/>
  <c r="AR58" i="8"/>
  <c r="AR57" i="8"/>
  <c r="AR56" i="8"/>
  <c r="AR55" i="8"/>
  <c r="AR54" i="8"/>
  <c r="AR53" i="8"/>
  <c r="AR52" i="8"/>
  <c r="AR51" i="8"/>
  <c r="AR50" i="8"/>
  <c r="AR49" i="8"/>
  <c r="AR48" i="8"/>
  <c r="AR47" i="8"/>
  <c r="AR46" i="8"/>
  <c r="AR45" i="8"/>
  <c r="AR44" i="8"/>
  <c r="AR43" i="8"/>
  <c r="AR42" i="8"/>
  <c r="AR41" i="8"/>
  <c r="AR40" i="8"/>
  <c r="AR39" i="8"/>
  <c r="AR38" i="8"/>
  <c r="AR37" i="8"/>
  <c r="AR36" i="8"/>
  <c r="AR35" i="8"/>
  <c r="AR34" i="8"/>
  <c r="AR33" i="8"/>
  <c r="AR32" i="8"/>
  <c r="AR31" i="8"/>
  <c r="AR30" i="8"/>
  <c r="AR29" i="8"/>
  <c r="AR28" i="8"/>
  <c r="AR27" i="8"/>
  <c r="AR26" i="8"/>
  <c r="AR25" i="8"/>
  <c r="AR24" i="8"/>
  <c r="AR23" i="8"/>
  <c r="AR22" i="8"/>
  <c r="AR21" i="8"/>
  <c r="AR20" i="8"/>
  <c r="AR19" i="8"/>
  <c r="AR18" i="8"/>
  <c r="AR17" i="8"/>
  <c r="AR16" i="8"/>
  <c r="AR15" i="8"/>
  <c r="AR14" i="8"/>
  <c r="AR13" i="8"/>
  <c r="AR12" i="8"/>
  <c r="AR11" i="8"/>
  <c r="AR10" i="8"/>
  <c r="AR9" i="8"/>
  <c r="AR8" i="8"/>
  <c r="AR7" i="8"/>
  <c r="AR6" i="8"/>
  <c r="AR5" i="8"/>
  <c r="Y54" i="8"/>
  <c r="P54" i="8"/>
  <c r="Y53" i="8"/>
  <c r="P53" i="8"/>
  <c r="Y52" i="8"/>
  <c r="P52" i="8"/>
  <c r="Y51" i="8"/>
  <c r="P51" i="8"/>
  <c r="Y50" i="8"/>
  <c r="P50" i="8"/>
  <c r="Y49" i="8"/>
  <c r="P49" i="8"/>
  <c r="Y48" i="8"/>
  <c r="P48" i="8"/>
  <c r="Y47" i="8"/>
  <c r="P47" i="8"/>
  <c r="Y46" i="8"/>
  <c r="P46" i="8"/>
  <c r="Y45" i="8"/>
  <c r="P45" i="8"/>
  <c r="Y44" i="8"/>
  <c r="P44" i="8"/>
  <c r="Y43" i="8"/>
  <c r="P43" i="8"/>
  <c r="Y42" i="8"/>
  <c r="P42" i="8"/>
  <c r="Y41" i="8"/>
  <c r="P41" i="8"/>
  <c r="Y40" i="8"/>
  <c r="P40" i="8"/>
  <c r="Y39" i="8"/>
  <c r="P39" i="8"/>
  <c r="Y38" i="8"/>
  <c r="P38" i="8"/>
  <c r="Y37" i="8"/>
  <c r="P37" i="8"/>
  <c r="Y36" i="8"/>
  <c r="P36" i="8"/>
  <c r="Y35" i="8"/>
  <c r="P35" i="8"/>
  <c r="Y34" i="8"/>
  <c r="P34" i="8"/>
  <c r="Y33" i="8"/>
  <c r="P33" i="8"/>
  <c r="Y32" i="8"/>
  <c r="P32" i="8"/>
  <c r="Y31" i="8"/>
  <c r="P31" i="8"/>
  <c r="Y30" i="8"/>
  <c r="P30" i="8"/>
  <c r="Y29" i="8"/>
  <c r="P29" i="8"/>
  <c r="Y28" i="8"/>
  <c r="P28" i="8"/>
  <c r="Y27" i="8"/>
  <c r="P27" i="8"/>
  <c r="Y26" i="8"/>
  <c r="P26" i="8"/>
  <c r="Y25" i="8"/>
  <c r="P25" i="8"/>
  <c r="Y24" i="8"/>
  <c r="P24" i="8"/>
  <c r="Y23" i="8"/>
  <c r="P23" i="8"/>
  <c r="Y22" i="8"/>
  <c r="P22" i="8"/>
  <c r="Y21" i="8"/>
  <c r="P21" i="8"/>
  <c r="Y20" i="8"/>
  <c r="P20" i="8"/>
  <c r="Y19" i="8"/>
  <c r="P19" i="8"/>
  <c r="Y18" i="8"/>
  <c r="P18" i="8"/>
  <c r="Y17" i="8"/>
  <c r="P17" i="8"/>
  <c r="Y16" i="8"/>
  <c r="P16" i="8"/>
  <c r="Y15" i="8"/>
  <c r="P15" i="8"/>
  <c r="Y14" i="8"/>
  <c r="P14" i="8"/>
  <c r="Y13" i="8"/>
  <c r="P13" i="8"/>
  <c r="Y12" i="8"/>
  <c r="P12" i="8"/>
  <c r="Y11" i="8"/>
  <c r="P11" i="8"/>
  <c r="Y10" i="8"/>
  <c r="P10" i="8"/>
  <c r="Y9" i="8"/>
  <c r="P9" i="8"/>
  <c r="Y8" i="8"/>
  <c r="P8" i="8"/>
  <c r="Y7" i="8"/>
  <c r="P7" i="8"/>
  <c r="Y6" i="8"/>
  <c r="P6" i="8"/>
  <c r="Y5" i="8"/>
  <c r="P5" i="8"/>
  <c r="AW8" i="6" l="1"/>
  <c r="BF8" i="6" s="1"/>
  <c r="AT9" i="6"/>
  <c r="AG10" i="6"/>
  <c r="AH10" i="6"/>
  <c r="AI10" i="6"/>
  <c r="AJ10" i="6"/>
  <c r="AK10" i="6"/>
  <c r="AL10" i="6"/>
  <c r="AM10" i="6"/>
  <c r="AN10" i="6"/>
  <c r="AO10" i="6"/>
  <c r="AP10" i="6"/>
  <c r="AQ10" i="6"/>
  <c r="AS10" i="6"/>
  <c r="AT10" i="6"/>
  <c r="AU10" i="6"/>
  <c r="BD10" i="6" s="1"/>
  <c r="AV10" i="6"/>
  <c r="BE10" i="6" s="1"/>
  <c r="AW10" i="6"/>
  <c r="AX10" i="6"/>
  <c r="AY10" i="6"/>
  <c r="AZ10" i="6"/>
  <c r="BI10" i="6" s="1"/>
  <c r="BB10" i="6"/>
  <c r="BC10" i="6"/>
  <c r="BC9" i="6"/>
  <c r="AG9" i="6"/>
  <c r="AH9" i="6"/>
  <c r="AI9" i="6"/>
  <c r="AJ9" i="6"/>
  <c r="AK9" i="6"/>
  <c r="AL9" i="6"/>
  <c r="AM9" i="6"/>
  <c r="AN9" i="6"/>
  <c r="AO9" i="6"/>
  <c r="AP9" i="6"/>
  <c r="AQ9" i="6"/>
  <c r="AS9" i="6"/>
  <c r="AU9" i="6"/>
  <c r="BD9" i="6" s="1"/>
  <c r="AV9" i="6"/>
  <c r="BE9" i="6" s="1"/>
  <c r="AW9" i="6"/>
  <c r="AX9" i="6"/>
  <c r="AY9" i="6"/>
  <c r="AZ9" i="6"/>
  <c r="BI9" i="6" s="1"/>
  <c r="BB9" i="6"/>
  <c r="BK9" i="6" s="1"/>
  <c r="AF10" i="6"/>
  <c r="AF9" i="6"/>
  <c r="AG8" i="6"/>
  <c r="AH8" i="6"/>
  <c r="AI8" i="6"/>
  <c r="AJ8" i="6"/>
  <c r="AK8" i="6"/>
  <c r="AL8" i="6"/>
  <c r="AM8" i="6"/>
  <c r="AN8" i="6"/>
  <c r="AO8" i="6"/>
  <c r="AP8" i="6"/>
  <c r="BH8" i="6" s="1"/>
  <c r="AQ8" i="6"/>
  <c r="AS8" i="6"/>
  <c r="AT8" i="6"/>
  <c r="AU8" i="6"/>
  <c r="BD8" i="6" s="1"/>
  <c r="AV8" i="6"/>
  <c r="BE8" i="6" s="1"/>
  <c r="AX8" i="6"/>
  <c r="BG8" i="6" s="1"/>
  <c r="AY8" i="6"/>
  <c r="AZ8" i="6"/>
  <c r="BI8" i="6" s="1"/>
  <c r="BB8" i="6"/>
  <c r="BK8" i="6" s="1"/>
  <c r="BC8" i="6"/>
  <c r="BL8" i="6" s="1"/>
  <c r="AG7" i="6"/>
  <c r="AH7" i="6"/>
  <c r="AI7" i="6"/>
  <c r="AJ7" i="6"/>
  <c r="AK7" i="6"/>
  <c r="AL7" i="6"/>
  <c r="AM7" i="6"/>
  <c r="AN7" i="6"/>
  <c r="AO7" i="6"/>
  <c r="AP7" i="6"/>
  <c r="AQ7" i="6"/>
  <c r="AS7" i="6"/>
  <c r="AT7" i="6"/>
  <c r="AU7" i="6"/>
  <c r="BD7" i="6" s="1"/>
  <c r="AV7" i="6"/>
  <c r="BE7" i="6" s="1"/>
  <c r="AW7" i="6"/>
  <c r="AX7" i="6"/>
  <c r="AY7" i="6"/>
  <c r="BH7" i="6" s="1"/>
  <c r="AZ7" i="6"/>
  <c r="BB7" i="6"/>
  <c r="BK7" i="6" s="1"/>
  <c r="BC7" i="6"/>
  <c r="BL7" i="6" s="1"/>
  <c r="AK6" i="6"/>
  <c r="AI6" i="6"/>
  <c r="AH6" i="6"/>
  <c r="AG6" i="6"/>
  <c r="AJ6" i="6"/>
  <c r="AL6" i="6"/>
  <c r="AM6" i="6"/>
  <c r="AN6" i="6"/>
  <c r="AO6" i="6"/>
  <c r="AP6" i="6"/>
  <c r="AQ6" i="6"/>
  <c r="AS6" i="6"/>
  <c r="AT6" i="6"/>
  <c r="AU6" i="6"/>
  <c r="BD6" i="6" s="1"/>
  <c r="AV6" i="6"/>
  <c r="BE6" i="6" s="1"/>
  <c r="AW6" i="6"/>
  <c r="BF6" i="6" s="1"/>
  <c r="AX6" i="6"/>
  <c r="BG6" i="6" s="1"/>
  <c r="AY6" i="6"/>
  <c r="BH6" i="6" s="1"/>
  <c r="AZ6" i="6"/>
  <c r="BI6" i="6" s="1"/>
  <c r="BB6" i="6"/>
  <c r="BK6" i="6" s="1"/>
  <c r="BC6" i="6"/>
  <c r="BL6" i="6" s="1"/>
  <c r="AF8" i="6"/>
  <c r="AF7" i="6"/>
  <c r="AF6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6" i="6"/>
  <c r="D66" i="6"/>
  <c r="E64" i="6"/>
  <c r="D64" i="6"/>
  <c r="F61" i="6"/>
  <c r="E61" i="6"/>
  <c r="D61" i="6"/>
  <c r="F60" i="6"/>
  <c r="E60" i="6"/>
  <c r="D60" i="6"/>
  <c r="F59" i="6"/>
  <c r="E59" i="6"/>
  <c r="D59" i="6"/>
  <c r="F58" i="6"/>
  <c r="E58" i="6"/>
  <c r="D58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Y55" i="6"/>
  <c r="P55" i="6"/>
  <c r="Y54" i="6"/>
  <c r="P54" i="6"/>
  <c r="Y53" i="6"/>
  <c r="P53" i="6"/>
  <c r="Y52" i="6"/>
  <c r="P52" i="6"/>
  <c r="Y51" i="6"/>
  <c r="P51" i="6"/>
  <c r="Y50" i="6"/>
  <c r="P50" i="6"/>
  <c r="Y49" i="6"/>
  <c r="P49" i="6"/>
  <c r="Y48" i="6"/>
  <c r="P48" i="6"/>
  <c r="Y47" i="6"/>
  <c r="P47" i="6"/>
  <c r="Y46" i="6"/>
  <c r="P46" i="6"/>
  <c r="Y45" i="6"/>
  <c r="P45" i="6"/>
  <c r="Y44" i="6"/>
  <c r="P44" i="6"/>
  <c r="Y43" i="6"/>
  <c r="P43" i="6"/>
  <c r="Y42" i="6"/>
  <c r="P42" i="6"/>
  <c r="Y41" i="6"/>
  <c r="P41" i="6"/>
  <c r="Y40" i="6"/>
  <c r="P40" i="6"/>
  <c r="Y39" i="6"/>
  <c r="P39" i="6"/>
  <c r="Y38" i="6"/>
  <c r="P38" i="6"/>
  <c r="Y37" i="6"/>
  <c r="P37" i="6"/>
  <c r="Y36" i="6"/>
  <c r="P36" i="6"/>
  <c r="Y35" i="6"/>
  <c r="P35" i="6"/>
  <c r="Y34" i="6"/>
  <c r="P34" i="6"/>
  <c r="Y33" i="6"/>
  <c r="P33" i="6"/>
  <c r="Y32" i="6"/>
  <c r="P32" i="6"/>
  <c r="Y31" i="6"/>
  <c r="P31" i="6"/>
  <c r="Y30" i="6"/>
  <c r="P30" i="6"/>
  <c r="Y29" i="6"/>
  <c r="P29" i="6"/>
  <c r="Y28" i="6"/>
  <c r="P28" i="6"/>
  <c r="Y27" i="6"/>
  <c r="P27" i="6"/>
  <c r="Y26" i="6"/>
  <c r="P26" i="6"/>
  <c r="Y25" i="6"/>
  <c r="P25" i="6"/>
  <c r="Y24" i="6"/>
  <c r="P24" i="6"/>
  <c r="Y23" i="6"/>
  <c r="P23" i="6"/>
  <c r="Y22" i="6"/>
  <c r="P22" i="6"/>
  <c r="Y21" i="6"/>
  <c r="P21" i="6"/>
  <c r="Y20" i="6"/>
  <c r="P20" i="6"/>
  <c r="Y19" i="6"/>
  <c r="P19" i="6"/>
  <c r="Y18" i="6"/>
  <c r="P18" i="6"/>
  <c r="Y17" i="6"/>
  <c r="P17" i="6"/>
  <c r="Y16" i="6"/>
  <c r="P16" i="6"/>
  <c r="Y15" i="6"/>
  <c r="P15" i="6"/>
  <c r="Y14" i="6"/>
  <c r="P14" i="6"/>
  <c r="Y13" i="6"/>
  <c r="P13" i="6"/>
  <c r="Y12" i="6"/>
  <c r="P12" i="6"/>
  <c r="Y11" i="6"/>
  <c r="BA8" i="6" s="1"/>
  <c r="P11" i="6"/>
  <c r="Y10" i="6"/>
  <c r="P10" i="6"/>
  <c r="Y9" i="6"/>
  <c r="P9" i="6"/>
  <c r="Y8" i="6"/>
  <c r="P8" i="6"/>
  <c r="Y7" i="6"/>
  <c r="BA7" i="6" s="1"/>
  <c r="P7" i="6"/>
  <c r="AR7" i="6" s="1"/>
  <c r="Y6" i="6"/>
  <c r="P6" i="6"/>
  <c r="AR8" i="6" l="1"/>
  <c r="BJ8" i="6" s="1"/>
  <c r="BL9" i="6"/>
  <c r="BA6" i="6"/>
  <c r="BJ6" i="6" s="1"/>
  <c r="BA9" i="6"/>
  <c r="BJ9" i="6" s="1"/>
  <c r="BA10" i="6"/>
  <c r="BJ10" i="6" s="1"/>
  <c r="BK10" i="6"/>
  <c r="BF7" i="6"/>
  <c r="AR9" i="6"/>
  <c r="AR6" i="6"/>
  <c r="AR10" i="6"/>
  <c r="BI7" i="6"/>
  <c r="BG7" i="6"/>
  <c r="BJ7" i="6"/>
  <c r="C24" i="3"/>
  <c r="E24" i="3" s="1"/>
  <c r="C23" i="3"/>
  <c r="E23" i="3" s="1"/>
  <c r="M12" i="2"/>
  <c r="K12" i="2"/>
  <c r="I12" i="2"/>
  <c r="G20" i="2"/>
  <c r="G21" i="2"/>
  <c r="G22" i="2"/>
  <c r="D22" i="2"/>
  <c r="D21" i="2"/>
  <c r="D20" i="2"/>
  <c r="E22" i="2"/>
  <c r="E21" i="2"/>
  <c r="E20" i="2"/>
  <c r="B22" i="2"/>
  <c r="B21" i="2"/>
  <c r="B20" i="2"/>
  <c r="D23" i="3" l="1"/>
  <c r="D24" i="3"/>
  <c r="E15" i="2"/>
  <c r="I11" i="4" l="1"/>
  <c r="I10" i="4"/>
  <c r="G11" i="4"/>
  <c r="G10" i="4"/>
  <c r="H11" i="4"/>
  <c r="F11" i="4"/>
  <c r="H10" i="4"/>
  <c r="F10" i="4"/>
  <c r="D19" i="2"/>
  <c r="D18" i="2"/>
  <c r="D17" i="2"/>
  <c r="D16" i="2"/>
  <c r="D15" i="2"/>
  <c r="B15" i="2"/>
  <c r="G15" i="2"/>
  <c r="G16" i="2"/>
  <c r="G17" i="2"/>
  <c r="G18" i="2"/>
  <c r="G19" i="2"/>
  <c r="E19" i="2"/>
  <c r="E18" i="2"/>
  <c r="E17" i="2"/>
  <c r="E16" i="2"/>
  <c r="B16" i="2"/>
  <c r="B19" i="2" l="1"/>
  <c r="B18" i="2"/>
  <c r="B17" i="2"/>
  <c r="D14" i="2"/>
  <c r="G14" i="2"/>
  <c r="E14" i="2"/>
  <c r="B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tc={57832D65-11B0-234F-B7E9-C333EDC7DDF9}</author>
    <author>tc={F3AADDE1-0698-3647-802C-4E4A63B7366B}</author>
    <author>tc={A1C1962A-E1BA-B343-9B59-795961A23A2D}</author>
    <author>tc={7B4BCCC0-3D01-2A4F-AACF-EC47386B0D85}</author>
    <author>tc={69AB9164-4C22-B742-8365-18330C3C3A60}</author>
    <author>tc={E1072CC2-64CB-8F4B-83F3-8011595D0C2E}</author>
    <author>tc={E0FE0365-1979-B641-B7F4-5201DA789EBA}</author>
    <author>tc={1CD04219-4102-CC40-8BA6-F3C5F8026084}</author>
    <author>tc={8A22A170-76D9-254A-B3C6-C1FBF2925464}</author>
    <author>tc={97A3B418-9BD6-E144-8A40-351ACE98E85E}</author>
    <author>tc={0C17524B-F04A-1A41-87B5-E83666B4B399}</author>
    <author>tc={7D16DEAD-11E6-E24A-A9B5-15B2B0028675}</author>
    <author>tc={396EF415-7579-4F41-A534-25A9DD941859}</author>
    <author>tc={CE2DD490-C9D1-3C4E-B264-F921353FB309}</author>
    <author>tc={E14082A2-1625-284E-B315-332A0E23704D}</author>
  </authors>
  <commentList>
    <comment ref="A5" authorId="0" shapeId="0" xr:uid="{57832D65-11B0-234F-B7E9-C333EDC7DDF9}">
      <text>
        <t>[Threaded comment]
Your version of Excel allows you to read this threaded comment; however, any edits to it will get removed if the file is opened in a newer version of Excel. Learn more: https://go.microsoft.com/fwlink/?linkid=870924
Comment:
    Plots 65-74 were laid out &amp; characterised on 03/02. Plots 75-84 laid out on 04/02. All blades were marked on 04/02 and fertiliser placed on 04/02.
START DATE FOR RO2a
START DATE FOR RO2b</t>
      </text>
    </comment>
    <comment ref="C5" authorId="1" shapeId="0" xr:uid="{F3AADDE1-0698-3647-802C-4E4A63B7366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All 18-9-10 NPK
Site 1:
Control = 0/0.5m2 
Medium = 150g / 0.5m2
High = 500g /0.5m2 
Site 2: 
Control = 0
Treatment = 150g/0.5m2 </t>
      </text>
    </comment>
    <comment ref="D5" authorId="2" shapeId="0" xr:uid="{A1C1962A-E1BA-B343-9B59-795961A23A2D}">
      <text>
        <t>[Threaded comment]
Your version of Excel allows you to read this threaded comment; however, any edits to it will get removed if the file is opened in a newer version of Excel. Learn more: https://go.microsoft.com/fwlink/?linkid=870924
Comment:
    At spring low tide on 24/01/22 for Site 1 (11:30, -0.0m)
At spring low tide on 18/02/22 (08:30, -0.0m)</t>
      </text>
    </comment>
    <comment ref="E5" authorId="3" shapeId="0" xr:uid="{7B4BCCC0-3D01-2A4F-AACF-EC47386B0D85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at which rebar stopped sinking/met resistance by hitting the underlying reef rock</t>
      </text>
    </comment>
    <comment ref="F5" authorId="4" shapeId="0" xr:uid="{69AB9164-4C22-B742-8365-18330C3C3A60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at which rebar would continue moving downwards using a hammer. Beyond 1m, we pulled out the rebar, just so that I can say e.g., sediment thickness is beyond 1m
Reply:
    Everywhere where there is a 1, reading was &gt;1 but had to change for calculating average</t>
      </text>
    </comment>
    <comment ref="O5" authorId="5" shapeId="0" xr:uid="{E1072CC2-64CB-8F4B-83F3-8011595D0C2E}">
      <text>
        <t>[Threaded comment]
Your version of Excel allows you to read this threaded comment; however, any edits to it will get removed if the file is opened in a newer version of Excel. Learn more: https://go.microsoft.com/fwlink/?linkid=870924
Comment:
    No real epiphyte cover at RO2b. Lots of tiny white epibonts. Encrusting coralline red algae on seagrass blades. % of bladed in plot w obvious RC
At RO2a before, nearly all algae was green, mixed w sand on leaves. At RO2b, all algae on blades was green some sand</t>
      </text>
    </comment>
    <comment ref="Y5" authorId="6" shapeId="0" xr:uid="{E0FE0365-1979-B641-B7F4-5201DA789EB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End of experiment, measured the lengths of 20 blades
</t>
      </text>
    </comment>
    <comment ref="AE5" authorId="7" shapeId="0" xr:uid="{1CD04219-4102-CC40-8BA6-F3C5F802608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All 18-9-10 NPK
Site 1:
Control = 0/0.5m2 
Medium = 150g / 0.5m2
High = 500g /0.5m2 
Site 2: 
Control = 0
Treatment = 150g/0.5m2 </t>
      </text>
    </comment>
    <comment ref="AF5" authorId="8" shapeId="0" xr:uid="{8A22A170-76D9-254A-B3C6-C1FBF2925464}">
      <text>
        <t>[Threaded comment]
Your version of Excel allows you to read this threaded comment; however, any edits to it will get removed if the file is opened in a newer version of Excel. Learn more: https://go.microsoft.com/fwlink/?linkid=870924
Comment:
    At spring low tide on 24/01/22 for Site 1 (11:30, -0.0m)
At spring low tide on 18/02/22 (08:30, -0.0m)</t>
      </text>
    </comment>
    <comment ref="AG5" authorId="9" shapeId="0" xr:uid="{97A3B418-9BD6-E144-8A40-351ACE98E85E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at which rebar stopped sinking/met resistance by hitting the underlying reef rock</t>
      </text>
    </comment>
    <comment ref="AH5" authorId="10" shapeId="0" xr:uid="{0C17524B-F04A-1A41-87B5-E83666B4B399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at which rebar would continue moving downwards using a hammer. Beyond 1m, we pulled out the rebar, just so that I can say e.g., sediment thickness is beyond 1m
Reply:
    Everywhere where there is a 1, reading was &gt;1 but had to change for calculating average</t>
      </text>
    </comment>
    <comment ref="AQ5" authorId="11" shapeId="0" xr:uid="{7D16DEAD-11E6-E24A-A9B5-15B2B0028675}">
      <text>
        <t>[Threaded comment]
Your version of Excel allows you to read this threaded comment; however, any edits to it will get removed if the file is opened in a newer version of Excel. Learn more: https://go.microsoft.com/fwlink/?linkid=870924
Comment:
    No real epiphyte cover at RO2b. Lots of tiny white epibonts. Encrusting coralline red algae on seagrass blades. % of bladed in plot w obvious RC
At RO2a before, nearly all algae was green, mixed w sand on leaves. At RO2b, all algae on blades was green some sand</t>
      </text>
    </comment>
    <comment ref="BA5" authorId="12" shapeId="0" xr:uid="{396EF415-7579-4F41-A534-25A9DD94185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End of experiment, measured the lengths of 20 blades
</t>
      </text>
    </comment>
    <comment ref="BJ5" authorId="13" shapeId="0" xr:uid="{CE2DD490-C9D1-3C4E-B264-F921353FB30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End of experiment, measured the lengths of 20 blades
</t>
      </text>
    </comment>
    <comment ref="C68" authorId="14" shapeId="0" xr:uid="{E14082A2-1625-284E-B315-332A0E23704D}">
      <text>
        <t>[Threaded comment]
Your version of Excel allows you to read this threaded comment; however, any edits to it will get removed if the file is opened in a newer version of Excel. Learn more: https://go.microsoft.com/fwlink/?linkid=870924
Comment:
    50cm2 quadrat was thrown randomly around the site 20 times and the number of sheaths per quadrat was estimated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tc={79C836F0-5237-DD4E-8270-954A6CA689F6}</author>
    <author>tc={7FD6BC99-6ADB-734C-8B6E-9AF8738948F4}</author>
    <author>tc={9BF3A410-B6FB-DF45-A291-C2E1A6AD12B9}</author>
    <author>tc={64CD8048-71C0-2D41-9391-A84E4E3EAC32}</author>
    <author>tc={B0542F38-1085-1F47-B36D-B673CBB4E98C}</author>
    <author>tc={EB0238FF-0125-7E4F-A986-389D54A199F8}</author>
    <author>tc={4EDC34D0-4E95-AC4F-8113-43ACDDE04D63}</author>
    <author>tc={EF5FDCA2-034D-EC4D-A572-51F3ED9D2EB6}</author>
    <author>tc={B9BF60D2-B917-B84D-8C9A-C50D6C9DB859}</author>
    <author>tc={F8C8111C-D6B0-0F42-A42F-CCCFAC302142}</author>
    <author>tc={D203AB09-CC7E-9543-BBE6-E2E220FCA7A1}</author>
  </authors>
  <commentList>
    <comment ref="A4" authorId="0" shapeId="0" xr:uid="{79C836F0-5237-DD4E-8270-954A6CA689F6}">
      <text>
        <t>[Threaded comment]
Your version of Excel allows you to read this threaded comment; however, any edits to it will get removed if the file is opened in a newer version of Excel. Learn more: https://go.microsoft.com/fwlink/?linkid=870924
Comment:
    Plots 65-74 were laid out &amp; characterised on 03/02. Plots 75-84 laid out on 04/02. All blades were marked on 04/02 and fertiliser placed on 04/02.
START DATE FOR RO2a
START DATE FOR RO2b</t>
      </text>
    </comment>
    <comment ref="C4" authorId="1" shapeId="0" xr:uid="{7FD6BC99-6ADB-734C-8B6E-9AF8738948F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All 18-9-10 NPK
Site 1:
Control = 0/0.5m2 
Medium = 150g / 0.5m2
High = 500g /0.5m2 
Site 2: 
Control = 0
Treatment = 150g/0.5m2 </t>
      </text>
    </comment>
    <comment ref="D4" authorId="2" shapeId="0" xr:uid="{9BF3A410-B6FB-DF45-A291-C2E1A6AD12B9}">
      <text>
        <t>[Threaded comment]
Your version of Excel allows you to read this threaded comment; however, any edits to it will get removed if the file is opened in a newer version of Excel. Learn more: https://go.microsoft.com/fwlink/?linkid=870924
Comment:
    At spring low tide on 24/01/22 for Site 1 (11:30, -0.0m)
At spring low tide on 18/02/22 (08:30, -0.0m)</t>
      </text>
    </comment>
    <comment ref="E4" authorId="3" shapeId="0" xr:uid="{64CD8048-71C0-2D41-9391-A84E4E3EAC32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at which rebar stopped sinking/met resistance by hitting the underlying reef rock</t>
      </text>
    </comment>
    <comment ref="F4" authorId="4" shapeId="0" xr:uid="{B0542F38-1085-1F47-B36D-B673CBB4E98C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at which rebar would continue moving downwards using a hammer. Beyond 1m, we pulled out the rebar, just so that I can say e.g., sediment thickness is beyond 1m
Reply:
    Everywhere where there is a 1, reading was &gt;1 but had to change for calculating average</t>
      </text>
    </comment>
    <comment ref="O4" authorId="5" shapeId="0" xr:uid="{EB0238FF-0125-7E4F-A986-389D54A199F8}">
      <text>
        <t>[Threaded comment]
Your version of Excel allows you to read this threaded comment; however, any edits to it will get removed if the file is opened in a newer version of Excel. Learn more: https://go.microsoft.com/fwlink/?linkid=870924
Comment:
    No real epiphyte cover at RO2b. Lots of tiny white epibonts. Encrusting coralline red algae on seagrass blades. % of bladed in plot w obvious RC
At RO2a before, nearly all algae was green, mixed w sand on leaves. At RO2b, all algae on blades was green some sand</t>
      </text>
    </comment>
    <comment ref="Y4" authorId="6" shapeId="0" xr:uid="{4EDC34D0-4E95-AC4F-8113-43ACDDE04D6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End of experiment, measured the lengths of 20 blades
</t>
      </text>
    </comment>
    <comment ref="AF4" authorId="7" shapeId="0" xr:uid="{EF5FDCA2-034D-EC4D-A572-51F3ED9D2EB6}">
      <text>
        <t>[Threaded comment]
Your version of Excel allows you to read this threaded comment; however, any edits to it will get removed if the file is opened in a newer version of Excel. Learn more: https://go.microsoft.com/fwlink/?linkid=870924
Comment:
    At spring low tide on 24/01/22 for Site 1 (11:30, -0.0m)
At spring low tide on 18/02/22 (08:30, -0.0m)</t>
      </text>
    </comment>
    <comment ref="AG4" authorId="8" shapeId="0" xr:uid="{B9BF60D2-B917-B84D-8C9A-C50D6C9DB859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at which rebar stopped sinking/met resistance by hitting the underlying reef rock</t>
      </text>
    </comment>
    <comment ref="AH4" authorId="9" shapeId="0" xr:uid="{F8C8111C-D6B0-0F42-A42F-CCCFAC302142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at which rebar would continue moving downwards using a hammer. Beyond 1m, we pulled out the rebar, just so that I can say e.g., sediment thickness is beyond 1m
Reply:
    Everywhere where there is a 1, reading was &gt;1 but had to change for calculating average</t>
      </text>
    </comment>
    <comment ref="AQ4" authorId="10" shapeId="0" xr:uid="{D203AB09-CC7E-9543-BBE6-E2E220FCA7A1}">
      <text>
        <t>[Threaded comment]
Your version of Excel allows you to read this threaded comment; however, any edits to it will get removed if the file is opened in a newer version of Excel. Learn more: https://go.microsoft.com/fwlink/?linkid=870924
Comment:
    No real epiphyte cover at RO2b. Lots of tiny white epibonts. Encrusting coralline red algae on seagrass blades. % of bladed in plot w obvious RC
At RO2a before, nearly all algae was green, mixed w sand on leaves. At RO2b, all algae on blades was green some sand</t>
      </text>
    </comment>
  </commentList>
</comments>
</file>

<file path=xl/sharedStrings.xml><?xml version="1.0" encoding="utf-8"?>
<sst xmlns="http://schemas.openxmlformats.org/spreadsheetml/2006/main" count="845" uniqueCount="288">
  <si>
    <t>Sediment depth (m)</t>
  </si>
  <si>
    <t>Plot #</t>
  </si>
  <si>
    <t>Treatment</t>
  </si>
  <si>
    <t>Water depth (m)</t>
  </si>
  <si>
    <t>Sand (m)</t>
  </si>
  <si>
    <t>Rubble (m)</t>
  </si>
  <si>
    <t>Percent Cover (Sg)</t>
  </si>
  <si>
    <t>Percent Cover (Sand)</t>
  </si>
  <si>
    <t>Species composition</t>
  </si>
  <si>
    <t>Canopy height (n=20)</t>
  </si>
  <si>
    <t>Shoots per sheath</t>
  </si>
  <si>
    <t>% Grazing</t>
  </si>
  <si>
    <t>END</t>
  </si>
  <si>
    <t>Canopy height (cm), n=20</t>
  </si>
  <si>
    <t xml:space="preserve">Control </t>
  </si>
  <si>
    <t>70 (B+G)</t>
  </si>
  <si>
    <t xml:space="preserve">Medium </t>
  </si>
  <si>
    <t>60 (B+G)</t>
  </si>
  <si>
    <t xml:space="preserve">High </t>
  </si>
  <si>
    <t>37 (B)</t>
  </si>
  <si>
    <t>80 (B)</t>
  </si>
  <si>
    <t>50 (B)</t>
  </si>
  <si>
    <t>High</t>
  </si>
  <si>
    <t>40 (B)</t>
  </si>
  <si>
    <t>Control</t>
  </si>
  <si>
    <t>10 (B)</t>
  </si>
  <si>
    <t>100 (G)</t>
  </si>
  <si>
    <t>60 (G)</t>
  </si>
  <si>
    <t>20 (B) 80 (G)</t>
  </si>
  <si>
    <t xml:space="preserve"> 70 (G)</t>
  </si>
  <si>
    <t>80 (G)</t>
  </si>
  <si>
    <t>90 (B)</t>
  </si>
  <si>
    <t>30 (B)</t>
  </si>
  <si>
    <t>Percent Cover (Halimeda)</t>
  </si>
  <si>
    <t>Percent cover (Fila green)</t>
  </si>
  <si>
    <t>Percent Cover (Brown)</t>
  </si>
  <si>
    <t>Site</t>
  </si>
  <si>
    <t>% Th</t>
  </si>
  <si>
    <t>% Cr</t>
  </si>
  <si>
    <t>% Si</t>
  </si>
  <si>
    <t>Location</t>
  </si>
  <si>
    <t>Temp ˚C</t>
  </si>
  <si>
    <t>pH</t>
  </si>
  <si>
    <t xml:space="preserve">Salinity </t>
  </si>
  <si>
    <t>DO mg/L</t>
  </si>
  <si>
    <t>DO %</t>
  </si>
  <si>
    <t>EC (mS/cm)</t>
  </si>
  <si>
    <t># 65</t>
  </si>
  <si>
    <t># 69</t>
  </si>
  <si>
    <t># 80</t>
  </si>
  <si>
    <t># 84</t>
  </si>
  <si>
    <t># 35 (bottom right)</t>
  </si>
  <si>
    <t># 40 (top right)</t>
  </si>
  <si>
    <t># 64 (top left)</t>
  </si>
  <si>
    <t># 58 (bottom left)</t>
  </si>
  <si>
    <t>Site 1</t>
  </si>
  <si>
    <t xml:space="preserve">Site 2 </t>
  </si>
  <si>
    <t xml:space="preserve">Temperature </t>
  </si>
  <si>
    <t>Temperature HOBO</t>
  </si>
  <si>
    <t>In-situ sampling</t>
  </si>
  <si>
    <t>Water depth</t>
  </si>
  <si>
    <t>Sediment depth (to rubble)</t>
  </si>
  <si>
    <t>Underlying reef platform</t>
  </si>
  <si>
    <t>Grain size analysis</t>
  </si>
  <si>
    <t>n</t>
  </si>
  <si>
    <t>Site2</t>
  </si>
  <si>
    <t>WD</t>
  </si>
  <si>
    <t>stdev</t>
  </si>
  <si>
    <t>SedDep</t>
  </si>
  <si>
    <t>RubbleDep</t>
  </si>
  <si>
    <t>TOC/N Sample Results</t>
  </si>
  <si>
    <t>Sample</t>
  </si>
  <si>
    <t>% N</t>
  </si>
  <si>
    <t>% TOC</t>
  </si>
  <si>
    <t>42</t>
  </si>
  <si>
    <t>48</t>
  </si>
  <si>
    <t>51</t>
  </si>
  <si>
    <t>58</t>
  </si>
  <si>
    <t>%TOC</t>
  </si>
  <si>
    <t>%N</t>
  </si>
  <si>
    <t>61</t>
  </si>
  <si>
    <t>site 1 (spit)</t>
  </si>
  <si>
    <t>62</t>
  </si>
  <si>
    <t>site 2 (redlake)</t>
  </si>
  <si>
    <t>Site 2</t>
  </si>
  <si>
    <t>65</t>
  </si>
  <si>
    <t>66</t>
  </si>
  <si>
    <t>71</t>
  </si>
  <si>
    <t>74</t>
  </si>
  <si>
    <t>75</t>
  </si>
  <si>
    <t>78</t>
  </si>
  <si>
    <t>80</t>
  </si>
  <si>
    <t>81</t>
  </si>
  <si>
    <t>st dev</t>
  </si>
  <si>
    <t xml:space="preserve">Very coarse sand-gravel </t>
  </si>
  <si>
    <t>Coarse Sand</t>
  </si>
  <si>
    <t>Medium Sand</t>
  </si>
  <si>
    <t>Fine sand</t>
  </si>
  <si>
    <t>Very fine sand</t>
  </si>
  <si>
    <t>Silt</t>
  </si>
  <si>
    <t>1mm-2mm</t>
  </si>
  <si>
    <t>500-1mm</t>
  </si>
  <si>
    <t>500-250</t>
  </si>
  <si>
    <t>250-125</t>
  </si>
  <si>
    <t>125-63</t>
  </si>
  <si>
    <t>Site 2 (%)</t>
  </si>
  <si>
    <t>Range</t>
  </si>
  <si>
    <t>max</t>
  </si>
  <si>
    <t>min</t>
  </si>
  <si>
    <t>SEDDEPTH</t>
  </si>
  <si>
    <t xml:space="preserve">Ammonium </t>
  </si>
  <si>
    <t xml:space="preserve">Nitrate </t>
  </si>
  <si>
    <t>Phosphate</t>
  </si>
  <si>
    <t>TON</t>
  </si>
  <si>
    <t>Ammonium</t>
  </si>
  <si>
    <t>Error (%)</t>
  </si>
  <si>
    <t>Ammonium (uM)</t>
  </si>
  <si>
    <t>Phosphate (uM)</t>
  </si>
  <si>
    <t>TON (uM)</t>
  </si>
  <si>
    <t>Temperature ˚C</t>
  </si>
  <si>
    <t>Sheaths/50cm2</t>
  </si>
  <si>
    <t>RO2b</t>
  </si>
  <si>
    <t>High N (500 g per plot)</t>
  </si>
  <si>
    <t>Low N (150 g per plot)</t>
  </si>
  <si>
    <t>per m2</t>
  </si>
  <si>
    <t>N g m2</t>
  </si>
  <si>
    <t>P g m2</t>
  </si>
  <si>
    <t>N:P concentrations in fertiliser 18-9-10</t>
  </si>
  <si>
    <t>sheaths per m2</t>
  </si>
  <si>
    <t>Epiphytic material on blades %</t>
  </si>
  <si>
    <t>Start percent Cover (Sg)</t>
  </si>
  <si>
    <t>Start percent Cover (Sand)</t>
  </si>
  <si>
    <t>Start percent Cover (Halimeda)</t>
  </si>
  <si>
    <t>Low N</t>
  </si>
  <si>
    <t>High N</t>
  </si>
  <si>
    <t>START</t>
  </si>
  <si>
    <t>% CHANGE</t>
  </si>
  <si>
    <t xml:space="preserve"> percent Cover (Halimeda)</t>
  </si>
  <si>
    <t>Start percent cover (Fila green)</t>
  </si>
  <si>
    <t>Start percent Cover (Brown)</t>
  </si>
  <si>
    <t>Start epiphytic material on blades %</t>
  </si>
  <si>
    <t xml:space="preserve">Start canopy height </t>
  </si>
  <si>
    <t>Start % Grazing</t>
  </si>
  <si>
    <t>End percent Cover (Sg)</t>
  </si>
  <si>
    <t>End percent Cover (Sand)</t>
  </si>
  <si>
    <t>End percent Cover (Halimeda)</t>
  </si>
  <si>
    <t>End percent cover (Fila green)</t>
  </si>
  <si>
    <t>End percent Cover (Brown)</t>
  </si>
  <si>
    <t>End epiphytic material on blades %</t>
  </si>
  <si>
    <t>End canopy height (cm)</t>
  </si>
  <si>
    <t>End shoots per sheath</t>
  </si>
  <si>
    <t>End % grazing</t>
  </si>
  <si>
    <t>Start leaf density</t>
  </si>
  <si>
    <t>Pre_Post</t>
  </si>
  <si>
    <t>Site 1_2</t>
  </si>
  <si>
    <t>Pre</t>
  </si>
  <si>
    <t>Post</t>
  </si>
  <si>
    <t xml:space="preserve">Low N </t>
  </si>
  <si>
    <t xml:space="preserve">High N </t>
  </si>
  <si>
    <t>Leaf density</t>
  </si>
  <si>
    <t>Water_depth</t>
  </si>
  <si>
    <t>Sand_depth</t>
  </si>
  <si>
    <t>Rubble_depth</t>
  </si>
  <si>
    <t>Percent_Th</t>
  </si>
  <si>
    <t>Percent_Cr</t>
  </si>
  <si>
    <t>Percent_Si</t>
  </si>
  <si>
    <t>Polluted</t>
  </si>
  <si>
    <t>Non-poll</t>
  </si>
  <si>
    <t>1 ± 0.00</t>
  </si>
  <si>
    <t>MEAN ± SD</t>
  </si>
  <si>
    <t>0.53 ± 0.04</t>
  </si>
  <si>
    <t>0.54 ± 0.05</t>
  </si>
  <si>
    <t>0.52 ± 0.05</t>
  </si>
  <si>
    <t>0.15 ± 0.03</t>
  </si>
  <si>
    <t>0.16 ± 0.03</t>
  </si>
  <si>
    <t>0.45 ±0.14</t>
  </si>
  <si>
    <t>0.47 ± 0.17</t>
  </si>
  <si>
    <t>0.46 ± 0.15</t>
  </si>
  <si>
    <t>0.54 ±0.08</t>
  </si>
  <si>
    <t>0.56 ±0.04</t>
  </si>
  <si>
    <t>0.98 ± 0.06</t>
  </si>
  <si>
    <t>0.98 ±0.07</t>
  </si>
  <si>
    <t>0.94 ± 0.15</t>
  </si>
  <si>
    <t>0.91 ±0.14</t>
  </si>
  <si>
    <t>85 ± 21.6</t>
  </si>
  <si>
    <t>80 ± 23.1</t>
  </si>
  <si>
    <t>83 ± 24.7</t>
  </si>
  <si>
    <t>100 ± 0</t>
  </si>
  <si>
    <t>15 ± 21.6</t>
  </si>
  <si>
    <t>16 ± 22.7</t>
  </si>
  <si>
    <t>17 ± 24.7</t>
  </si>
  <si>
    <t>4 ± 12.7</t>
  </si>
  <si>
    <t>-</t>
  </si>
  <si>
    <t>Non-polluted</t>
  </si>
  <si>
    <t>Percent_seagrass</t>
  </si>
  <si>
    <t>Percent_sand</t>
  </si>
  <si>
    <t>Percent_hali</t>
  </si>
  <si>
    <t>Percent_green</t>
  </si>
  <si>
    <t>Percent_brown</t>
  </si>
  <si>
    <t>Percent_epiphytes</t>
  </si>
  <si>
    <t>Leaf_density</t>
  </si>
  <si>
    <t>Canopy_height</t>
  </si>
  <si>
    <t>Percent_grazing</t>
  </si>
  <si>
    <t>83.9 ± 11.8</t>
  </si>
  <si>
    <t>86.6 ± 7.0</t>
  </si>
  <si>
    <t>16.1 ± 11.8</t>
  </si>
  <si>
    <t>13.4 ± 7.0</t>
  </si>
  <si>
    <t>14 ± 6.6</t>
  </si>
  <si>
    <t>14.5 ± 3.7</t>
  </si>
  <si>
    <t>3.5 ± 0.5</t>
  </si>
  <si>
    <t>3.4 ± 0.5</t>
  </si>
  <si>
    <t>1 ± 2.1</t>
  </si>
  <si>
    <t>0 ± 0</t>
  </si>
  <si>
    <t>78.5 ± 12.5</t>
  </si>
  <si>
    <t>91 ± 6.1</t>
  </si>
  <si>
    <t>21.5 ± 12.5</t>
  </si>
  <si>
    <t>9 ± 6.1</t>
  </si>
  <si>
    <t>15.5 ± 6.4</t>
  </si>
  <si>
    <t>17.5 ± 4.9</t>
  </si>
  <si>
    <t>3.6 ± 0.7</t>
  </si>
  <si>
    <t>4.3 ± 0.7</t>
  </si>
  <si>
    <t>10.95 ± 1.6</t>
  </si>
  <si>
    <t xml:space="preserve">11.37 ± 0.5 </t>
  </si>
  <si>
    <t>11.80 ± 1.7</t>
  </si>
  <si>
    <t>12.11 ± 0.4</t>
  </si>
  <si>
    <t>76.5 ± 12.3</t>
  </si>
  <si>
    <t>80.5 ± 6.0</t>
  </si>
  <si>
    <t>79 ± 9.4</t>
  </si>
  <si>
    <t>13.25 ± 8.5</t>
  </si>
  <si>
    <t>11.5 ± 5.2</t>
  </si>
  <si>
    <t>13.05 ± 5.8</t>
  </si>
  <si>
    <t>3.75 ± 9.4</t>
  </si>
  <si>
    <t>1 ± 3.2</t>
  </si>
  <si>
    <t>5 ± 3.1</t>
  </si>
  <si>
    <t>5.5 ± 2.6</t>
  </si>
  <si>
    <t>5.95 ± 3.2</t>
  </si>
  <si>
    <t>1.5 ± 2.4</t>
  </si>
  <si>
    <t>1 ± 1.7</t>
  </si>
  <si>
    <t>38.5 ± 14.3</t>
  </si>
  <si>
    <t>42.5 ± 11.6</t>
  </si>
  <si>
    <t>28.5 ± 6.3</t>
  </si>
  <si>
    <t>4.1 ± 0.6</t>
  </si>
  <si>
    <t>3.8 ± 0.6</t>
  </si>
  <si>
    <t>24.05 ± 3.1</t>
  </si>
  <si>
    <t>22.71 ± 3.0</t>
  </si>
  <si>
    <t>23.39 ± 3.3</t>
  </si>
  <si>
    <t>6 ± 2.1</t>
  </si>
  <si>
    <t>2.2 ± 2.5</t>
  </si>
  <si>
    <t>4.4 ± 1.6</t>
  </si>
  <si>
    <t>76 ± 9.1</t>
  </si>
  <si>
    <t>78.5 ± 13.1</t>
  </si>
  <si>
    <t>72 ± 10.1</t>
  </si>
  <si>
    <t>7.5 ± 6.3</t>
  </si>
  <si>
    <t>6.5 ± 7.8</t>
  </si>
  <si>
    <t>13 ± 7.5</t>
  </si>
  <si>
    <t>1.5 ± 4.7</t>
  </si>
  <si>
    <t>0.5 ± 1.6</t>
  </si>
  <si>
    <t>11 ± 5.2</t>
  </si>
  <si>
    <t>11.5 ± 6.3</t>
  </si>
  <si>
    <t xml:space="preserve">13.5 ± 7.1 </t>
  </si>
  <si>
    <t>4 ± 4.6</t>
  </si>
  <si>
    <t>3 ± 4.2</t>
  </si>
  <si>
    <t>2 ± 4.2</t>
  </si>
  <si>
    <t>66 ± 31.3</t>
  </si>
  <si>
    <t>71.5 ± 21.1</t>
  </si>
  <si>
    <t>42.7 ± 19</t>
  </si>
  <si>
    <t>4.4 ± 0.5</t>
  </si>
  <si>
    <t>4.7 ± 0.5</t>
  </si>
  <si>
    <t>4.8 ± 0.6</t>
  </si>
  <si>
    <t>22.65 ± 2.6</t>
  </si>
  <si>
    <t>23.59 ± 2.6</t>
  </si>
  <si>
    <t>23.85 ± 2.8</t>
  </si>
  <si>
    <t>7.1 ± 3.5</t>
  </si>
  <si>
    <t>7.5 ± 3.3</t>
  </si>
  <si>
    <t>7.4 ± 2.5</t>
  </si>
  <si>
    <t>Sand</t>
  </si>
  <si>
    <t>125-500</t>
  </si>
  <si>
    <t>500-2mm</t>
  </si>
  <si>
    <t>RO2a (0.25m2)</t>
  </si>
  <si>
    <t xml:space="preserve">Leaf density </t>
  </si>
  <si>
    <t>Sheath density</t>
  </si>
  <si>
    <t>Leaves per m2</t>
  </si>
  <si>
    <t>Pristine</t>
  </si>
  <si>
    <t>Imapcted</t>
  </si>
  <si>
    <t>4-63</t>
  </si>
  <si>
    <t>&lt;4</t>
  </si>
  <si>
    <t>Clay</t>
  </si>
  <si>
    <t>Coarse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</si>
</sst>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0" xfId="0" applyFont="1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2" borderId="0" xfId="0" applyNumberForma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left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7" xfId="0" applyNumberForma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2" fontId="10" fillId="0" borderId="17" xfId="0" applyNumberFormat="1" applyFont="1" applyBorder="1" applyAlignment="1">
      <alignment horizontal="center"/>
    </xf>
    <xf numFmtId="2" fontId="10" fillId="0" borderId="18" xfId="0" applyNumberFormat="1" applyFont="1" applyBorder="1" applyAlignment="1">
      <alignment horizontal="center"/>
    </xf>
    <xf numFmtId="2" fontId="10" fillId="0" borderId="0" xfId="0" applyNumberFormat="1" applyFont="1" applyAlignment="1">
      <alignment horizontal="center"/>
    </xf>
    <xf numFmtId="2" fontId="10" fillId="0" borderId="19" xfId="0" applyNumberFormat="1" applyFont="1" applyBorder="1" applyAlignment="1">
      <alignment horizontal="center"/>
    </xf>
    <xf numFmtId="2" fontId="10" fillId="0" borderId="21" xfId="0" applyNumberFormat="1" applyFont="1" applyBorder="1" applyAlignment="1">
      <alignment horizontal="center"/>
    </xf>
    <xf numFmtId="2" fontId="10" fillId="0" borderId="22" xfId="0" applyNumberFormat="1" applyFont="1" applyBorder="1" applyAlignment="1">
      <alignment horizontal="center"/>
    </xf>
    <xf numFmtId="0" fontId="6" fillId="0" borderId="21" xfId="0" applyFont="1" applyBorder="1"/>
    <xf numFmtId="0" fontId="6" fillId="0" borderId="21" xfId="0" applyFont="1" applyBorder="1" applyAlignment="1">
      <alignment horizontal="center"/>
    </xf>
    <xf numFmtId="0" fontId="5" fillId="0" borderId="23" xfId="0" applyFont="1" applyBorder="1"/>
    <xf numFmtId="0" fontId="5" fillId="0" borderId="24" xfId="0" applyFont="1" applyBorder="1"/>
    <xf numFmtId="0" fontId="5" fillId="0" borderId="25" xfId="0" applyFont="1" applyBorder="1"/>
    <xf numFmtId="0" fontId="6" fillId="0" borderId="12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2" fontId="0" fillId="3" borderId="0" xfId="0" applyNumberFormat="1" applyFill="1"/>
    <xf numFmtId="2" fontId="0" fillId="4" borderId="0" xfId="0" applyNumberFormat="1" applyFill="1"/>
    <xf numFmtId="0" fontId="1" fillId="0" borderId="0" xfId="0" applyFont="1" applyAlignment="1">
      <alignment horizontal="center" vertical="center" wrapText="1"/>
    </xf>
    <xf numFmtId="165" fontId="0" fillId="0" borderId="0" xfId="0" applyNumberFormat="1"/>
    <xf numFmtId="1" fontId="0" fillId="0" borderId="0" xfId="0" applyNumberFormat="1"/>
    <xf numFmtId="0" fontId="0" fillId="5" borderId="0" xfId="0" applyFill="1"/>
    <xf numFmtId="165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2" fontId="9" fillId="0" borderId="0" xfId="0" applyNumberFormat="1" applyFont="1"/>
    <xf numFmtId="0" fontId="12" fillId="0" borderId="0" xfId="0" applyFont="1" applyAlignment="1">
      <alignment wrapText="1"/>
    </xf>
    <xf numFmtId="0" fontId="12" fillId="0" borderId="0" xfId="0" applyFont="1"/>
    <xf numFmtId="49" fontId="0" fillId="0" borderId="0" xfId="0" applyNumberFormat="1"/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ss Arnull" id="{60ED58F9-F7C5-5641-949B-717E2012D283}" userId="S::s1405468@ed.ac.uk::dd23a18f-d4be-4148-a7f4-3372375fbf6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" dT="2023-04-13T11:09:25.94" personId="{60ED58F9-F7C5-5641-949B-717E2012D283}" id="{57832D65-11B0-234F-B7E9-C333EDC7DDF9}">
    <text>Plots 65-74 were laid out &amp; characterised on 03/02. Plots 75-84 laid out on 04/02. All blades were marked on 04/02 and fertiliser placed on 04/02.
START DATE FOR RO2a
START DATE FOR RO2b</text>
  </threadedComment>
  <threadedComment ref="C5" dT="2023-04-13T11:28:35.01" personId="{60ED58F9-F7C5-5641-949B-717E2012D283}" id="{F3AADDE1-0698-3647-802C-4E4A63B7366B}">
    <text xml:space="preserve">All 18-9-10 NPK
Site 1:
Control = 0/0.5m2 
Medium = 150g / 0.5m2
High = 500g /0.5m2 
Site 2: 
Control = 0
Treatment = 150g/0.5m2 </text>
  </threadedComment>
  <threadedComment ref="D5" dT="2023-04-13T11:30:20.76" personId="{60ED58F9-F7C5-5641-949B-717E2012D283}" id="{A1C1962A-E1BA-B343-9B59-795961A23A2D}">
    <text>At spring low tide on 24/01/22 for Site 1 (11:30, -0.0m)
At spring low tide on 18/02/22 (08:30, -0.0m)</text>
  </threadedComment>
  <threadedComment ref="E5" dT="2023-04-13T11:26:44.99" personId="{60ED58F9-F7C5-5641-949B-717E2012D283}" id="{7B4BCCC0-3D01-2A4F-AACF-EC47386B0D85}">
    <text>Point at which rebar stopped sinking/met resistance by hitting the underlying reef rock</text>
  </threadedComment>
  <threadedComment ref="F5" dT="2023-04-13T11:26:57.15" personId="{60ED58F9-F7C5-5641-949B-717E2012D283}" id="{69AB9164-4C22-B742-8365-18330C3C3A60}">
    <text>Point at which rebar would continue moving downwards using a hammer. Beyond 1m, we pulled out the rebar, just so that I can say e.g., sediment thickness is beyond 1m</text>
  </threadedComment>
  <threadedComment ref="F5" dT="2023-04-13T11:39:14.64" personId="{60ED58F9-F7C5-5641-949B-717E2012D283}" id="{223D71E1-A2F0-004D-B621-8D594F0CBCBF}" parentId="{69AB9164-4C22-B742-8365-18330C3C3A60}">
    <text>Everywhere where there is a 1, reading was &gt;1 but had to change for calculating average</text>
  </threadedComment>
  <threadedComment ref="O5" dT="2023-04-13T11:05:50.95" personId="{60ED58F9-F7C5-5641-949B-717E2012D283}" id="{E1072CC2-64CB-8F4B-83F3-8011595D0C2E}">
    <text>No real epiphyte cover at RO2b. Lots of tiny white epibonts. Encrusting coralline red algae on seagrass blades. % of bladed in plot w obvious RC
At RO2a before, nearly all algae was green, mixed w sand on leaves. At RO2b, all algae on blades was green some sand</text>
  </threadedComment>
  <threadedComment ref="Y5" dT="2023-04-13T11:03:57.06" personId="{60ED58F9-F7C5-5641-949B-717E2012D283}" id="{E0FE0365-1979-B641-B7F4-5201DA789EBA}">
    <text xml:space="preserve">End of experiment, measured the lengths of 20 blades
</text>
  </threadedComment>
  <threadedComment ref="AE5" dT="2023-04-13T11:28:35.01" personId="{60ED58F9-F7C5-5641-949B-717E2012D283}" id="{1CD04219-4102-CC40-8BA6-F3C5F8026084}">
    <text xml:space="preserve">All 18-9-10 NPK
Site 1:
Control = 0/0.5m2 
Medium = 150g / 0.5m2
High = 500g /0.5m2 
Site 2: 
Control = 0
Treatment = 150g/0.5m2 </text>
  </threadedComment>
  <threadedComment ref="AF5" dT="2023-04-13T11:30:20.76" personId="{60ED58F9-F7C5-5641-949B-717E2012D283}" id="{8A22A170-76D9-254A-B3C6-C1FBF2925464}">
    <text>At spring low tide on 24/01/22 for Site 1 (11:30, -0.0m)
At spring low tide on 18/02/22 (08:30, -0.0m)</text>
  </threadedComment>
  <threadedComment ref="AG5" dT="2023-04-13T11:26:44.99" personId="{60ED58F9-F7C5-5641-949B-717E2012D283}" id="{97A3B418-9BD6-E144-8A40-351ACE98E85E}">
    <text>Point at which rebar stopped sinking/met resistance by hitting the underlying reef rock</text>
  </threadedComment>
  <threadedComment ref="AH5" dT="2023-04-13T11:26:57.15" personId="{60ED58F9-F7C5-5641-949B-717E2012D283}" id="{0C17524B-F04A-1A41-87B5-E83666B4B399}">
    <text>Point at which rebar would continue moving downwards using a hammer. Beyond 1m, we pulled out the rebar, just so that I can say e.g., sediment thickness is beyond 1m</text>
  </threadedComment>
  <threadedComment ref="AH5" dT="2023-04-13T11:39:14.64" personId="{60ED58F9-F7C5-5641-949B-717E2012D283}" id="{E18C8059-81F6-E54B-A959-8FD94CD0ECDD}" parentId="{0C17524B-F04A-1A41-87B5-E83666B4B399}">
    <text>Everywhere where there is a 1, reading was &gt;1 but had to change for calculating average</text>
  </threadedComment>
  <threadedComment ref="AQ5" dT="2023-04-13T11:05:50.95" personId="{60ED58F9-F7C5-5641-949B-717E2012D283}" id="{7D16DEAD-11E6-E24A-A9B5-15B2B0028675}">
    <text>No real epiphyte cover at RO2b. Lots of tiny white epibonts. Encrusting coralline red algae on seagrass blades. % of bladed in plot w obvious RC
At RO2a before, nearly all algae was green, mixed w sand on leaves. At RO2b, all algae on blades was green some sand</text>
  </threadedComment>
  <threadedComment ref="BA5" dT="2023-04-13T11:03:57.06" personId="{60ED58F9-F7C5-5641-949B-717E2012D283}" id="{396EF415-7579-4F41-A534-25A9DD941859}">
    <text xml:space="preserve">End of experiment, measured the lengths of 20 blades
</text>
  </threadedComment>
  <threadedComment ref="BJ5" dT="2023-04-13T11:03:57.06" personId="{60ED58F9-F7C5-5641-949B-717E2012D283}" id="{CE2DD490-C9D1-3C4E-B264-F921353FB309}">
    <text xml:space="preserve">End of experiment, measured the lengths of 20 blades
</text>
  </threadedComment>
  <threadedComment ref="C68" dT="2023-04-14T19:23:52.77" personId="{60ED58F9-F7C5-5641-949B-717E2012D283}" id="{E14082A2-1625-284E-B315-332A0E23704D}">
    <text>50cm2 quadrat was thrown randomly around the site 20 times and the number of sheaths per quadrat was estimated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4" dT="2023-04-13T11:09:25.94" personId="{60ED58F9-F7C5-5641-949B-717E2012D283}" id="{79C836F0-5237-DD4E-8270-954A6CA689F6}">
    <text>Plots 65-74 were laid out &amp; characterised on 03/02. Plots 75-84 laid out on 04/02. All blades were marked on 04/02 and fertiliser placed on 04/02.
START DATE FOR RO2a
START DATE FOR RO2b</text>
  </threadedComment>
  <threadedComment ref="C4" dT="2023-04-13T11:28:35.01" personId="{60ED58F9-F7C5-5641-949B-717E2012D283}" id="{7FD6BC99-6ADB-734C-8B6E-9AF8738948F4}">
    <text xml:space="preserve">All 18-9-10 NPK
Site 1:
Control = 0/0.5m2 
Medium = 150g / 0.5m2
High = 500g /0.5m2 
Site 2: 
Control = 0
Treatment = 150g/0.5m2 </text>
  </threadedComment>
  <threadedComment ref="D4" dT="2023-04-13T11:30:20.76" personId="{60ED58F9-F7C5-5641-949B-717E2012D283}" id="{9BF3A410-B6FB-DF45-A291-C2E1A6AD12B9}">
    <text>At spring low tide on 24/01/22 for Site 1 (11:30, -0.0m)
At spring low tide on 18/02/22 (08:30, -0.0m)</text>
  </threadedComment>
  <threadedComment ref="E4" dT="2023-04-13T11:26:44.99" personId="{60ED58F9-F7C5-5641-949B-717E2012D283}" id="{64CD8048-71C0-2D41-9391-A84E4E3EAC32}">
    <text>Point at which rebar stopped sinking/met resistance by hitting the underlying reef rock</text>
  </threadedComment>
  <threadedComment ref="F4" dT="2023-04-13T11:26:57.15" personId="{60ED58F9-F7C5-5641-949B-717E2012D283}" id="{B0542F38-1085-1F47-B36D-B673CBB4E98C}">
    <text>Point at which rebar would continue moving downwards using a hammer. Beyond 1m, we pulled out the rebar, just so that I can say e.g., sediment thickness is beyond 1m</text>
  </threadedComment>
  <threadedComment ref="F4" dT="2023-04-13T11:39:14.64" personId="{60ED58F9-F7C5-5641-949B-717E2012D283}" id="{6D362481-1020-5B41-A61B-A60BEDF2C9FD}" parentId="{B0542F38-1085-1F47-B36D-B673CBB4E98C}">
    <text>Everywhere where there is a 1, reading was &gt;1 but had to change for calculating average</text>
  </threadedComment>
  <threadedComment ref="O4" dT="2023-04-13T11:05:50.95" personId="{60ED58F9-F7C5-5641-949B-717E2012D283}" id="{EB0238FF-0125-7E4F-A986-389D54A199F8}">
    <text>No real epiphyte cover at RO2b. Lots of tiny white epibonts. Encrusting coralline red algae on seagrass blades. % of bladed in plot w obvious RC
At RO2a before, nearly all algae was green, mixed w sand on leaves. At RO2b, all algae on blades was green some sand</text>
  </threadedComment>
  <threadedComment ref="Y4" dT="2023-04-13T11:03:57.06" personId="{60ED58F9-F7C5-5641-949B-717E2012D283}" id="{4EDC34D0-4E95-AC4F-8113-43ACDDE04D63}">
    <text xml:space="preserve">End of experiment, measured the lengths of 20 blades
</text>
  </threadedComment>
  <threadedComment ref="AF4" dT="2023-04-13T11:30:20.76" personId="{60ED58F9-F7C5-5641-949B-717E2012D283}" id="{EF5FDCA2-034D-EC4D-A572-51F3ED9D2EB6}">
    <text>At spring low tide on 24/01/22 for Site 1 (11:30, -0.0m)
At spring low tide on 18/02/22 (08:30, -0.0m)</text>
  </threadedComment>
  <threadedComment ref="AG4" dT="2023-04-13T11:26:44.99" personId="{60ED58F9-F7C5-5641-949B-717E2012D283}" id="{B9BF60D2-B917-B84D-8C9A-C50D6C9DB859}">
    <text>Point at which rebar stopped sinking/met resistance by hitting the underlying reef rock</text>
  </threadedComment>
  <threadedComment ref="AH4" dT="2023-04-13T11:26:57.15" personId="{60ED58F9-F7C5-5641-949B-717E2012D283}" id="{F8C8111C-D6B0-0F42-A42F-CCCFAC302142}">
    <text>Point at which rebar would continue moving downwards using a hammer. Beyond 1m, we pulled out the rebar, just so that I can say e.g., sediment thickness is beyond 1m</text>
  </threadedComment>
  <threadedComment ref="AH4" dT="2023-04-13T11:39:14.64" personId="{60ED58F9-F7C5-5641-949B-717E2012D283}" id="{1669CD66-7443-F948-809C-045A6B221DD1}" parentId="{F8C8111C-D6B0-0F42-A42F-CCCFAC302142}">
    <text>Everywhere where there is a 1, reading was &gt;1 but had to change for calculating average</text>
  </threadedComment>
  <threadedComment ref="AQ4" dT="2023-04-13T11:05:50.95" personId="{60ED58F9-F7C5-5641-949B-717E2012D283}" id="{D203AB09-CC7E-9543-BBE6-E2E220FCA7A1}">
    <text>No real epiphyte cover at RO2b. Lots of tiny white epibonts. Encrusting coralline red algae on seagrass blades. % of bladed in plot w obvious RC
At RO2a before, nearly all algae was green, mixed w sand on leaves. At RO2b, all algae on blades was green some sand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3418B-B086-3840-9324-0DD3EE6C9477}">
  <dimension ref="A2:X65"/>
  <sheetViews>
    <sheetView workbookViewId="0">
      <selection activeCell="B32" sqref="B32"/>
    </sheetView>
  </sheetViews>
  <sheetFormatPr baseColWidth="10" defaultRowHeight="16" x14ac:dyDescent="0.2"/>
  <cols>
    <col min="2" max="2" width="22.6640625" customWidth="1"/>
    <col min="3" max="3" width="11.6640625" bestFit="1" customWidth="1"/>
    <col min="4" max="4" width="5.5" customWidth="1"/>
    <col min="5" max="5" width="12.83203125" bestFit="1" customWidth="1"/>
    <col min="6" max="6" width="11.6640625" bestFit="1" customWidth="1"/>
    <col min="7" max="7" width="4.1640625" customWidth="1"/>
    <col min="8" max="8" width="11.6640625" bestFit="1" customWidth="1"/>
    <col min="11" max="11" width="14.1640625" customWidth="1"/>
    <col min="12" max="13" width="13.33203125" customWidth="1"/>
  </cols>
  <sheetData>
    <row r="2" spans="1:24" x14ac:dyDescent="0.2">
      <c r="A2" s="56"/>
      <c r="B2" s="57"/>
      <c r="C2" s="58" t="s">
        <v>55</v>
      </c>
      <c r="D2" s="58" t="s">
        <v>64</v>
      </c>
      <c r="E2" s="58" t="s">
        <v>67</v>
      </c>
      <c r="F2" s="58" t="s">
        <v>56</v>
      </c>
      <c r="G2" s="58" t="s">
        <v>64</v>
      </c>
      <c r="H2" s="59" t="s">
        <v>67</v>
      </c>
    </row>
    <row r="3" spans="1:24" x14ac:dyDescent="0.2">
      <c r="A3" s="42"/>
      <c r="B3" s="47" t="s">
        <v>58</v>
      </c>
      <c r="C3" s="12"/>
      <c r="D3" s="12"/>
      <c r="E3" s="12"/>
      <c r="F3" s="12"/>
      <c r="G3" s="12"/>
      <c r="H3" s="23"/>
      <c r="L3" t="s">
        <v>169</v>
      </c>
    </row>
    <row r="4" spans="1:24" x14ac:dyDescent="0.2">
      <c r="A4" s="42"/>
      <c r="B4" s="47" t="s">
        <v>60</v>
      </c>
      <c r="C4" s="25">
        <v>0.52933333333333332</v>
      </c>
      <c r="D4" s="52">
        <v>30</v>
      </c>
      <c r="E4" s="25">
        <v>4.3781064505050614E-2</v>
      </c>
      <c r="F4" s="25">
        <v>0.15750000000000003</v>
      </c>
      <c r="G4" s="52">
        <v>20</v>
      </c>
      <c r="H4" s="48">
        <v>2.8996370008747795E-2</v>
      </c>
      <c r="M4" t="s">
        <v>160</v>
      </c>
      <c r="N4" t="s">
        <v>160</v>
      </c>
      <c r="O4" t="s">
        <v>161</v>
      </c>
      <c r="P4" t="s">
        <v>161</v>
      </c>
      <c r="Q4" t="s">
        <v>162</v>
      </c>
      <c r="R4" t="s">
        <v>162</v>
      </c>
      <c r="S4" t="s">
        <v>163</v>
      </c>
      <c r="T4" t="s">
        <v>163</v>
      </c>
      <c r="U4" t="s">
        <v>164</v>
      </c>
      <c r="V4" t="s">
        <v>164</v>
      </c>
      <c r="W4" t="s">
        <v>165</v>
      </c>
      <c r="X4" t="s">
        <v>165</v>
      </c>
    </row>
    <row r="5" spans="1:24" x14ac:dyDescent="0.2">
      <c r="A5" s="42"/>
      <c r="B5" s="47" t="s">
        <v>61</v>
      </c>
      <c r="C5" s="25">
        <v>0.45833333333333326</v>
      </c>
      <c r="D5" s="52">
        <v>30</v>
      </c>
      <c r="E5" s="25">
        <v>0.14699480012697019</v>
      </c>
      <c r="F5" s="25">
        <v>0.55149999999999988</v>
      </c>
      <c r="G5" s="52">
        <v>20</v>
      </c>
      <c r="H5" s="48">
        <v>5.9407158881031021E-2</v>
      </c>
      <c r="K5" t="s">
        <v>166</v>
      </c>
      <c r="L5" t="s">
        <v>24</v>
      </c>
      <c r="M5" s="32">
        <v>0.52700000000000002</v>
      </c>
      <c r="N5" s="32">
        <v>3.5920000000000001E-2</v>
      </c>
      <c r="O5" s="32">
        <v>0.44900000000000001</v>
      </c>
      <c r="P5" s="32">
        <v>0.13772000000000001</v>
      </c>
      <c r="Q5" s="32">
        <v>0.98</v>
      </c>
      <c r="R5" s="32">
        <v>6.3250000000000001E-2</v>
      </c>
      <c r="S5" s="32">
        <v>85</v>
      </c>
      <c r="T5" s="32">
        <v>21.60247</v>
      </c>
      <c r="U5" s="32">
        <v>15</v>
      </c>
      <c r="V5" s="32">
        <v>21.60247</v>
      </c>
      <c r="W5" s="32">
        <v>0</v>
      </c>
      <c r="X5" s="32">
        <v>0</v>
      </c>
    </row>
    <row r="6" spans="1:24" x14ac:dyDescent="0.2">
      <c r="A6" s="42"/>
      <c r="B6" s="47" t="s">
        <v>62</v>
      </c>
      <c r="C6" s="25">
        <v>0.79</v>
      </c>
      <c r="D6" s="52">
        <v>30</v>
      </c>
      <c r="E6" s="25">
        <v>1.4142135623730963E-2</v>
      </c>
      <c r="F6" s="25">
        <v>0.78857142857142848</v>
      </c>
      <c r="G6" s="52">
        <v>20</v>
      </c>
      <c r="H6" s="48">
        <v>0.16984586850323805</v>
      </c>
      <c r="L6" t="s">
        <v>133</v>
      </c>
      <c r="M6" s="32">
        <v>0.53900000000000003</v>
      </c>
      <c r="N6" s="32">
        <v>4.8180000000000001E-2</v>
      </c>
      <c r="O6" s="32">
        <v>0.46500000000000002</v>
      </c>
      <c r="P6" s="32">
        <v>0.16985</v>
      </c>
      <c r="Q6" s="32">
        <v>1</v>
      </c>
      <c r="R6" s="32">
        <v>0</v>
      </c>
      <c r="S6" s="32">
        <v>80</v>
      </c>
      <c r="T6" s="32">
        <v>23.094010000000001</v>
      </c>
      <c r="U6" s="32">
        <v>16</v>
      </c>
      <c r="V6" s="32">
        <v>22.705850000000002</v>
      </c>
      <c r="W6" s="32">
        <v>4</v>
      </c>
      <c r="X6" s="32">
        <v>12.64911</v>
      </c>
    </row>
    <row r="7" spans="1:24" x14ac:dyDescent="0.2">
      <c r="A7" s="60"/>
      <c r="B7" s="44" t="s">
        <v>63</v>
      </c>
      <c r="C7" s="45"/>
      <c r="D7" s="10"/>
      <c r="E7" s="10"/>
      <c r="F7" s="45"/>
      <c r="G7" s="10"/>
      <c r="H7" s="46"/>
      <c r="L7" t="s">
        <v>134</v>
      </c>
      <c r="M7" s="32">
        <v>0.52200000000000002</v>
      </c>
      <c r="N7" s="32">
        <v>4.8939999999999997E-2</v>
      </c>
      <c r="O7" s="32">
        <v>0.46100000000000002</v>
      </c>
      <c r="P7" s="32">
        <v>0.14715</v>
      </c>
      <c r="Q7" s="32">
        <v>0.97799999999999998</v>
      </c>
      <c r="R7" s="32">
        <v>6.9570000000000007E-2</v>
      </c>
      <c r="S7" s="32">
        <v>83</v>
      </c>
      <c r="T7" s="32">
        <v>24.743120000000001</v>
      </c>
      <c r="U7" s="32">
        <v>17</v>
      </c>
      <c r="V7" s="32">
        <v>24.743120000000001</v>
      </c>
      <c r="W7" s="32">
        <v>0</v>
      </c>
      <c r="X7" s="32">
        <v>0</v>
      </c>
    </row>
    <row r="8" spans="1:24" x14ac:dyDescent="0.2">
      <c r="A8" s="61"/>
      <c r="B8" s="47" t="s">
        <v>78</v>
      </c>
      <c r="C8" s="25">
        <v>0.68642300884115093</v>
      </c>
      <c r="D8" s="52">
        <v>8</v>
      </c>
      <c r="E8" s="25">
        <v>0.12950533461396746</v>
      </c>
      <c r="F8" s="25">
        <v>1.2703413287358112</v>
      </c>
      <c r="G8" s="52">
        <v>8</v>
      </c>
      <c r="H8" s="48">
        <v>0.53184905181295372</v>
      </c>
      <c r="K8" t="s">
        <v>167</v>
      </c>
      <c r="L8" t="s">
        <v>24</v>
      </c>
      <c r="M8" s="32">
        <v>0.152</v>
      </c>
      <c r="N8" s="32">
        <v>3.1550000000000002E-2</v>
      </c>
      <c r="O8" s="32">
        <v>0.54300000000000004</v>
      </c>
      <c r="P8" s="32">
        <v>7.775E-2</v>
      </c>
      <c r="Q8" s="32">
        <v>0.93799999999999994</v>
      </c>
      <c r="R8" s="32">
        <v>0.15090999999999999</v>
      </c>
      <c r="S8" s="32">
        <v>100</v>
      </c>
      <c r="T8" s="32">
        <v>0</v>
      </c>
      <c r="U8" s="32">
        <v>0</v>
      </c>
      <c r="V8" s="32">
        <v>0</v>
      </c>
      <c r="W8" s="32">
        <v>0</v>
      </c>
      <c r="X8" s="32">
        <v>0</v>
      </c>
    </row>
    <row r="9" spans="1:24" x14ac:dyDescent="0.2">
      <c r="A9" s="62"/>
      <c r="B9" s="49" t="s">
        <v>79</v>
      </c>
      <c r="C9" s="50">
        <v>0.11046152662626704</v>
      </c>
      <c r="D9" s="53">
        <v>8</v>
      </c>
      <c r="E9" s="50">
        <v>1.1871093514696635E-2</v>
      </c>
      <c r="F9" s="50">
        <v>0.15635640121051139</v>
      </c>
      <c r="G9" s="53">
        <v>8</v>
      </c>
      <c r="H9" s="51">
        <v>4.6781132246272832E-2</v>
      </c>
      <c r="L9" t="s">
        <v>133</v>
      </c>
      <c r="M9" s="32">
        <v>0.16300000000000001</v>
      </c>
      <c r="N9" s="32">
        <v>2.6689999999999998E-2</v>
      </c>
      <c r="O9" s="32">
        <v>0.56000000000000005</v>
      </c>
      <c r="P9" s="32">
        <v>3.5279999999999999E-2</v>
      </c>
      <c r="Q9" s="32">
        <v>0.91400000000000003</v>
      </c>
      <c r="R9" s="32">
        <v>0.13689000000000001</v>
      </c>
      <c r="S9" s="32">
        <v>100</v>
      </c>
      <c r="T9" s="32">
        <v>0</v>
      </c>
      <c r="U9" s="32">
        <v>0</v>
      </c>
      <c r="V9" s="32">
        <v>0</v>
      </c>
      <c r="W9" s="32">
        <v>0</v>
      </c>
      <c r="X9" s="32">
        <v>0</v>
      </c>
    </row>
    <row r="10" spans="1:24" x14ac:dyDescent="0.2">
      <c r="A10" s="105" t="s">
        <v>59</v>
      </c>
      <c r="B10" s="44" t="s">
        <v>57</v>
      </c>
      <c r="C10" s="45">
        <v>29.375</v>
      </c>
      <c r="D10" s="10">
        <v>4</v>
      </c>
      <c r="E10" s="45">
        <v>0.52519837521962331</v>
      </c>
      <c r="F10" s="45">
        <v>35.174999999999997</v>
      </c>
      <c r="G10" s="10">
        <v>4</v>
      </c>
      <c r="H10" s="46">
        <v>0.43493294502332902</v>
      </c>
      <c r="I10" s="29"/>
    </row>
    <row r="11" spans="1:24" x14ac:dyDescent="0.2">
      <c r="A11" s="106"/>
      <c r="B11" s="47" t="s">
        <v>42</v>
      </c>
      <c r="C11" s="25">
        <v>8.11</v>
      </c>
      <c r="D11" s="12">
        <v>4</v>
      </c>
      <c r="E11" s="25">
        <v>4.2426406871192923E-2</v>
      </c>
      <c r="F11" s="12">
        <v>9.4625000000000004</v>
      </c>
      <c r="G11" s="12">
        <v>4</v>
      </c>
      <c r="H11" s="48">
        <v>0.62055754500825044</v>
      </c>
      <c r="I11" s="6"/>
    </row>
    <row r="12" spans="1:24" x14ac:dyDescent="0.2">
      <c r="A12" s="106"/>
      <c r="B12" s="47" t="s">
        <v>43</v>
      </c>
      <c r="C12" s="25">
        <v>34.225000000000001</v>
      </c>
      <c r="D12" s="12">
        <v>4</v>
      </c>
      <c r="E12" s="25">
        <v>0.25</v>
      </c>
      <c r="F12" s="25">
        <v>34.475000000000001</v>
      </c>
      <c r="G12" s="12">
        <v>4</v>
      </c>
      <c r="H12" s="48">
        <v>0.18929694486000836</v>
      </c>
      <c r="I12" s="6"/>
      <c r="M12" t="s">
        <v>160</v>
      </c>
      <c r="N12" t="s">
        <v>161</v>
      </c>
      <c r="O12" t="s">
        <v>162</v>
      </c>
      <c r="P12" t="s">
        <v>163</v>
      </c>
      <c r="Q12" t="s">
        <v>164</v>
      </c>
      <c r="R12" t="s">
        <v>165</v>
      </c>
    </row>
    <row r="13" spans="1:24" x14ac:dyDescent="0.2">
      <c r="A13" s="106"/>
      <c r="B13" s="47" t="s">
        <v>44</v>
      </c>
      <c r="C13" s="25">
        <v>8.1925000000000008</v>
      </c>
      <c r="D13" s="12">
        <v>4</v>
      </c>
      <c r="E13" s="25">
        <v>0.60207280844318711</v>
      </c>
      <c r="F13" s="25">
        <v>11.137499999999999</v>
      </c>
      <c r="G13" s="12">
        <v>4</v>
      </c>
      <c r="H13" s="48">
        <v>0.52525390685521456</v>
      </c>
      <c r="I13" s="6"/>
      <c r="K13" t="s">
        <v>166</v>
      </c>
      <c r="L13" t="s">
        <v>24</v>
      </c>
      <c r="M13" s="32" t="s">
        <v>170</v>
      </c>
      <c r="N13" s="32" t="s">
        <v>175</v>
      </c>
      <c r="O13" s="32" t="s">
        <v>180</v>
      </c>
      <c r="P13" s="97" t="s">
        <v>184</v>
      </c>
      <c r="Q13" s="97" t="s">
        <v>188</v>
      </c>
      <c r="R13" s="97" t="s">
        <v>192</v>
      </c>
      <c r="V13" s="96"/>
      <c r="X13" s="96"/>
    </row>
    <row r="14" spans="1:24" x14ac:dyDescent="0.2">
      <c r="A14" s="106"/>
      <c r="B14" s="47" t="s">
        <v>45</v>
      </c>
      <c r="C14" s="25">
        <v>130.625</v>
      </c>
      <c r="D14" s="12">
        <v>4</v>
      </c>
      <c r="E14" s="25">
        <v>10.87454979911046</v>
      </c>
      <c r="F14" s="25">
        <v>192.97499999999999</v>
      </c>
      <c r="G14" s="12">
        <v>4</v>
      </c>
      <c r="H14" s="48">
        <v>8.7294043324845472</v>
      </c>
      <c r="I14" s="6"/>
      <c r="L14" t="s">
        <v>133</v>
      </c>
      <c r="M14" s="32" t="s">
        <v>171</v>
      </c>
      <c r="N14" s="32" t="s">
        <v>176</v>
      </c>
      <c r="O14" s="32" t="s">
        <v>168</v>
      </c>
      <c r="P14" s="97" t="s">
        <v>185</v>
      </c>
      <c r="Q14" s="97" t="s">
        <v>189</v>
      </c>
      <c r="R14" s="97" t="s">
        <v>191</v>
      </c>
      <c r="V14" s="96"/>
      <c r="X14" s="96"/>
    </row>
    <row r="15" spans="1:24" x14ac:dyDescent="0.2">
      <c r="A15" s="107"/>
      <c r="B15" s="47" t="s">
        <v>46</v>
      </c>
      <c r="C15" s="25">
        <v>51.95</v>
      </c>
      <c r="D15" s="12">
        <v>4</v>
      </c>
      <c r="E15" s="25">
        <v>0.36968455021364738</v>
      </c>
      <c r="F15" s="25">
        <v>52.25</v>
      </c>
      <c r="G15" s="12">
        <v>4</v>
      </c>
      <c r="H15" s="48">
        <v>0.12909944487357874</v>
      </c>
      <c r="I15" s="5"/>
      <c r="L15" t="s">
        <v>134</v>
      </c>
      <c r="M15" s="32" t="s">
        <v>172</v>
      </c>
      <c r="N15" s="32" t="s">
        <v>177</v>
      </c>
      <c r="O15" s="32" t="s">
        <v>181</v>
      </c>
      <c r="P15" s="97" t="s">
        <v>186</v>
      </c>
      <c r="Q15" s="97" t="s">
        <v>190</v>
      </c>
      <c r="R15" s="97" t="s">
        <v>192</v>
      </c>
      <c r="V15" s="96"/>
      <c r="X15" s="96"/>
    </row>
    <row r="16" spans="1:24" x14ac:dyDescent="0.2">
      <c r="A16" s="54"/>
      <c r="B16" s="44" t="s">
        <v>110</v>
      </c>
      <c r="C16" s="45">
        <v>1.3025</v>
      </c>
      <c r="D16" s="10">
        <v>4</v>
      </c>
      <c r="E16" s="45">
        <v>0.43030028274837767</v>
      </c>
      <c r="F16" s="45">
        <v>1.5500000000000003</v>
      </c>
      <c r="G16" s="10">
        <v>4</v>
      </c>
      <c r="H16" s="46">
        <v>0.78913454704082764</v>
      </c>
      <c r="I16" s="5"/>
      <c r="K16" t="s">
        <v>167</v>
      </c>
      <c r="L16" t="s">
        <v>24</v>
      </c>
      <c r="M16" s="32" t="s">
        <v>173</v>
      </c>
      <c r="N16" s="32" t="s">
        <v>178</v>
      </c>
      <c r="O16" s="32" t="s">
        <v>182</v>
      </c>
      <c r="P16" s="97" t="s">
        <v>187</v>
      </c>
      <c r="Q16" s="97" t="s">
        <v>192</v>
      </c>
      <c r="R16" s="97" t="s">
        <v>192</v>
      </c>
      <c r="V16" s="96"/>
      <c r="X16" s="96"/>
    </row>
    <row r="17" spans="1:24" x14ac:dyDescent="0.2">
      <c r="A17" s="55"/>
      <c r="B17" s="47" t="s">
        <v>111</v>
      </c>
      <c r="C17" s="25">
        <v>0.6875</v>
      </c>
      <c r="D17" s="12">
        <v>4</v>
      </c>
      <c r="E17" s="25">
        <v>4.9999999999999489E-3</v>
      </c>
      <c r="F17" s="25">
        <v>0.67749999999999999</v>
      </c>
      <c r="G17" s="12">
        <v>4</v>
      </c>
      <c r="H17" s="48">
        <v>2.2173557826083417E-2</v>
      </c>
      <c r="I17" s="5"/>
      <c r="L17" t="s">
        <v>133</v>
      </c>
      <c r="M17" s="32" t="s">
        <v>174</v>
      </c>
      <c r="N17" s="32" t="s">
        <v>179</v>
      </c>
      <c r="O17" s="32" t="s">
        <v>183</v>
      </c>
      <c r="P17" s="97" t="s">
        <v>187</v>
      </c>
      <c r="Q17" s="97" t="s">
        <v>192</v>
      </c>
      <c r="R17" s="97" t="s">
        <v>192</v>
      </c>
      <c r="V17" s="96"/>
      <c r="X17" s="96"/>
    </row>
    <row r="18" spans="1:24" x14ac:dyDescent="0.2">
      <c r="A18" s="49"/>
      <c r="B18" s="49" t="s">
        <v>112</v>
      </c>
      <c r="C18" s="50">
        <v>0.2475</v>
      </c>
      <c r="D18" s="27">
        <v>4</v>
      </c>
      <c r="E18" s="50">
        <v>4.3493294502333121E-2</v>
      </c>
      <c r="F18" s="50">
        <v>0.23249999999999998</v>
      </c>
      <c r="G18" s="27">
        <v>4</v>
      </c>
      <c r="H18" s="51">
        <v>5.560275772537427E-2</v>
      </c>
    </row>
    <row r="20" spans="1:24" x14ac:dyDescent="0.2">
      <c r="M20" s="32" t="s">
        <v>166</v>
      </c>
      <c r="P20" s="97" t="s">
        <v>193</v>
      </c>
    </row>
    <row r="21" spans="1:24" x14ac:dyDescent="0.2">
      <c r="C21" s="30" t="s">
        <v>127</v>
      </c>
      <c r="M21" t="s">
        <v>24</v>
      </c>
      <c r="N21" t="s">
        <v>133</v>
      </c>
      <c r="O21" t="s">
        <v>134</v>
      </c>
      <c r="P21" t="s">
        <v>24</v>
      </c>
      <c r="Q21" t="s">
        <v>133</v>
      </c>
    </row>
    <row r="22" spans="1:24" x14ac:dyDescent="0.2">
      <c r="C22" s="43" t="s">
        <v>124</v>
      </c>
      <c r="D22" s="43" t="s">
        <v>125</v>
      </c>
      <c r="E22" s="43" t="s">
        <v>126</v>
      </c>
      <c r="L22" t="s">
        <v>160</v>
      </c>
      <c r="M22" s="32" t="s">
        <v>170</v>
      </c>
      <c r="N22" s="32" t="s">
        <v>171</v>
      </c>
      <c r="O22" s="32" t="s">
        <v>172</v>
      </c>
      <c r="P22" s="32" t="s">
        <v>173</v>
      </c>
      <c r="Q22" s="32" t="s">
        <v>174</v>
      </c>
    </row>
    <row r="23" spans="1:24" x14ac:dyDescent="0.2">
      <c r="B23" s="30" t="s">
        <v>123</v>
      </c>
      <c r="C23">
        <f>150*4</f>
        <v>600</v>
      </c>
      <c r="D23">
        <f>(18*C23)/100</f>
        <v>108</v>
      </c>
      <c r="E23">
        <f>(9*C23)/100</f>
        <v>54</v>
      </c>
      <c r="L23" t="s">
        <v>161</v>
      </c>
      <c r="M23" s="32" t="s">
        <v>175</v>
      </c>
      <c r="N23" s="32" t="s">
        <v>176</v>
      </c>
      <c r="O23" s="32" t="s">
        <v>177</v>
      </c>
      <c r="P23" s="32" t="s">
        <v>178</v>
      </c>
      <c r="Q23" s="32" t="s">
        <v>179</v>
      </c>
    </row>
    <row r="24" spans="1:24" x14ac:dyDescent="0.2">
      <c r="B24" s="30" t="s">
        <v>122</v>
      </c>
      <c r="C24">
        <f>500*4</f>
        <v>2000</v>
      </c>
      <c r="D24">
        <f>(18*C24)/100</f>
        <v>360</v>
      </c>
      <c r="E24">
        <f>(9*C24)/100</f>
        <v>180</v>
      </c>
      <c r="L24" t="s">
        <v>162</v>
      </c>
      <c r="M24" s="32" t="s">
        <v>180</v>
      </c>
      <c r="N24" s="32" t="s">
        <v>168</v>
      </c>
      <c r="O24" s="32" t="s">
        <v>181</v>
      </c>
      <c r="P24" s="32" t="s">
        <v>182</v>
      </c>
      <c r="Q24" s="32" t="s">
        <v>183</v>
      </c>
    </row>
    <row r="25" spans="1:24" x14ac:dyDescent="0.2">
      <c r="L25" t="s">
        <v>163</v>
      </c>
      <c r="M25" s="97" t="s">
        <v>184</v>
      </c>
      <c r="N25" s="97" t="s">
        <v>185</v>
      </c>
      <c r="O25" s="97" t="s">
        <v>186</v>
      </c>
      <c r="P25" s="97" t="s">
        <v>187</v>
      </c>
      <c r="Q25" s="97" t="s">
        <v>187</v>
      </c>
    </row>
    <row r="26" spans="1:24" x14ac:dyDescent="0.2">
      <c r="L26" t="s">
        <v>164</v>
      </c>
      <c r="M26" s="97" t="s">
        <v>188</v>
      </c>
      <c r="N26" s="97" t="s">
        <v>189</v>
      </c>
      <c r="O26" s="97" t="s">
        <v>190</v>
      </c>
      <c r="P26" s="97" t="s">
        <v>192</v>
      </c>
      <c r="Q26" s="97" t="s">
        <v>192</v>
      </c>
    </row>
    <row r="27" spans="1:24" x14ac:dyDescent="0.2">
      <c r="L27" t="s">
        <v>165</v>
      </c>
      <c r="M27" s="97" t="s">
        <v>192</v>
      </c>
      <c r="N27" s="97" t="s">
        <v>191</v>
      </c>
      <c r="O27" s="97" t="s">
        <v>192</v>
      </c>
      <c r="P27" s="97" t="s">
        <v>192</v>
      </c>
      <c r="Q27" s="97" t="s">
        <v>192</v>
      </c>
    </row>
    <row r="29" spans="1:24" x14ac:dyDescent="0.2"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</row>
    <row r="37" spans="11:16" x14ac:dyDescent="0.2">
      <c r="M37" s="12" t="s">
        <v>166</v>
      </c>
      <c r="N37" s="12"/>
      <c r="O37" s="108" t="s">
        <v>167</v>
      </c>
      <c r="P37" s="108"/>
    </row>
    <row r="38" spans="11:16" x14ac:dyDescent="0.2">
      <c r="M38" t="s">
        <v>155</v>
      </c>
      <c r="N38" t="s">
        <v>156</v>
      </c>
      <c r="O38" t="s">
        <v>155</v>
      </c>
      <c r="P38" t="s">
        <v>156</v>
      </c>
    </row>
    <row r="39" spans="11:16" x14ac:dyDescent="0.2">
      <c r="K39" t="s">
        <v>194</v>
      </c>
      <c r="L39" t="s">
        <v>24</v>
      </c>
      <c r="M39" s="99" t="s">
        <v>225</v>
      </c>
      <c r="N39" s="99" t="s">
        <v>249</v>
      </c>
      <c r="O39" s="99" t="s">
        <v>203</v>
      </c>
      <c r="P39" s="99" t="s">
        <v>213</v>
      </c>
    </row>
    <row r="40" spans="11:16" x14ac:dyDescent="0.2">
      <c r="L40" t="s">
        <v>133</v>
      </c>
      <c r="M40" s="99" t="s">
        <v>226</v>
      </c>
      <c r="N40" s="99" t="s">
        <v>250</v>
      </c>
      <c r="O40" s="99" t="s">
        <v>204</v>
      </c>
      <c r="P40" s="99" t="s">
        <v>214</v>
      </c>
    </row>
    <row r="41" spans="11:16" x14ac:dyDescent="0.2">
      <c r="L41" t="s">
        <v>134</v>
      </c>
      <c r="M41" s="99" t="s">
        <v>227</v>
      </c>
      <c r="N41" s="99" t="s">
        <v>251</v>
      </c>
      <c r="O41" s="99" t="s">
        <v>192</v>
      </c>
      <c r="P41" s="99" t="s">
        <v>192</v>
      </c>
    </row>
    <row r="42" spans="11:16" x14ac:dyDescent="0.2">
      <c r="K42" t="s">
        <v>195</v>
      </c>
      <c r="L42" t="s">
        <v>24</v>
      </c>
      <c r="M42" s="99" t="s">
        <v>228</v>
      </c>
      <c r="N42" s="99" t="s">
        <v>252</v>
      </c>
      <c r="O42" s="99" t="s">
        <v>205</v>
      </c>
      <c r="P42" s="99" t="s">
        <v>215</v>
      </c>
    </row>
    <row r="43" spans="11:16" x14ac:dyDescent="0.2">
      <c r="L43" t="s">
        <v>133</v>
      </c>
      <c r="M43" s="99" t="s">
        <v>229</v>
      </c>
      <c r="N43" s="99" t="s">
        <v>253</v>
      </c>
      <c r="O43" s="99" t="s">
        <v>206</v>
      </c>
      <c r="P43" s="99" t="s">
        <v>216</v>
      </c>
    </row>
    <row r="44" spans="11:16" x14ac:dyDescent="0.2">
      <c r="L44" t="s">
        <v>134</v>
      </c>
      <c r="M44" s="99" t="s">
        <v>230</v>
      </c>
      <c r="N44" s="99" t="s">
        <v>254</v>
      </c>
      <c r="O44" s="99" t="s">
        <v>192</v>
      </c>
      <c r="P44" s="99" t="s">
        <v>192</v>
      </c>
    </row>
    <row r="45" spans="11:16" x14ac:dyDescent="0.2">
      <c r="K45" t="s">
        <v>196</v>
      </c>
      <c r="L45" t="s">
        <v>24</v>
      </c>
      <c r="M45" s="99" t="s">
        <v>231</v>
      </c>
      <c r="N45" s="99" t="s">
        <v>255</v>
      </c>
      <c r="O45" s="99" t="s">
        <v>192</v>
      </c>
      <c r="P45" s="99" t="s">
        <v>192</v>
      </c>
    </row>
    <row r="46" spans="11:16" x14ac:dyDescent="0.2">
      <c r="L46" t="s">
        <v>133</v>
      </c>
      <c r="M46" s="99" t="s">
        <v>211</v>
      </c>
      <c r="N46" s="99" t="s">
        <v>256</v>
      </c>
      <c r="O46" s="99" t="s">
        <v>192</v>
      </c>
      <c r="P46" s="99" t="s">
        <v>192</v>
      </c>
    </row>
    <row r="47" spans="11:16" x14ac:dyDescent="0.2">
      <c r="L47" t="s">
        <v>134</v>
      </c>
      <c r="M47" s="99" t="s">
        <v>232</v>
      </c>
      <c r="N47" s="99" t="s">
        <v>212</v>
      </c>
      <c r="O47" s="99" t="s">
        <v>192</v>
      </c>
      <c r="P47" s="99" t="s">
        <v>192</v>
      </c>
    </row>
    <row r="48" spans="11:16" x14ac:dyDescent="0.2">
      <c r="K48" t="s">
        <v>197</v>
      </c>
      <c r="L48" t="s">
        <v>24</v>
      </c>
      <c r="M48" s="99" t="s">
        <v>233</v>
      </c>
      <c r="N48" s="99" t="s">
        <v>257</v>
      </c>
      <c r="O48" s="99" t="s">
        <v>192</v>
      </c>
      <c r="P48" s="99" t="s">
        <v>192</v>
      </c>
    </row>
    <row r="49" spans="11:16" x14ac:dyDescent="0.2">
      <c r="L49" t="s">
        <v>133</v>
      </c>
      <c r="M49" s="99" t="s">
        <v>234</v>
      </c>
      <c r="N49" s="99" t="s">
        <v>258</v>
      </c>
      <c r="O49" s="99" t="s">
        <v>192</v>
      </c>
      <c r="P49" s="99" t="s">
        <v>192</v>
      </c>
    </row>
    <row r="50" spans="11:16" x14ac:dyDescent="0.2">
      <c r="L50" t="s">
        <v>134</v>
      </c>
      <c r="M50" s="99" t="s">
        <v>235</v>
      </c>
      <c r="N50" s="99" t="s">
        <v>259</v>
      </c>
      <c r="O50" s="99" t="s">
        <v>192</v>
      </c>
      <c r="P50" s="99" t="s">
        <v>192</v>
      </c>
    </row>
    <row r="51" spans="11:16" x14ac:dyDescent="0.2">
      <c r="K51" t="s">
        <v>198</v>
      </c>
      <c r="L51" t="s">
        <v>24</v>
      </c>
      <c r="M51" s="99" t="s">
        <v>236</v>
      </c>
      <c r="N51" s="99" t="s">
        <v>260</v>
      </c>
      <c r="O51" s="99" t="s">
        <v>192</v>
      </c>
      <c r="P51" s="99" t="s">
        <v>192</v>
      </c>
    </row>
    <row r="52" spans="11:16" x14ac:dyDescent="0.2">
      <c r="L52" t="s">
        <v>133</v>
      </c>
      <c r="M52" s="99" t="s">
        <v>236</v>
      </c>
      <c r="N52" s="99" t="s">
        <v>261</v>
      </c>
      <c r="O52" s="99" t="s">
        <v>192</v>
      </c>
      <c r="P52" s="99" t="s">
        <v>192</v>
      </c>
    </row>
    <row r="53" spans="11:16" x14ac:dyDescent="0.2">
      <c r="L53" t="s">
        <v>134</v>
      </c>
      <c r="M53" s="99" t="s">
        <v>237</v>
      </c>
      <c r="N53" s="99" t="s">
        <v>262</v>
      </c>
      <c r="O53" s="99" t="s">
        <v>192</v>
      </c>
      <c r="P53" s="99" t="s">
        <v>192</v>
      </c>
    </row>
    <row r="54" spans="11:16" x14ac:dyDescent="0.2">
      <c r="K54" t="s">
        <v>199</v>
      </c>
      <c r="L54" t="s">
        <v>24</v>
      </c>
      <c r="M54" s="99" t="s">
        <v>238</v>
      </c>
      <c r="N54" s="99" t="s">
        <v>263</v>
      </c>
      <c r="O54" s="99" t="s">
        <v>207</v>
      </c>
      <c r="P54" s="99" t="s">
        <v>217</v>
      </c>
    </row>
    <row r="55" spans="11:16" x14ac:dyDescent="0.2">
      <c r="L55" t="s">
        <v>133</v>
      </c>
      <c r="M55" s="99" t="s">
        <v>239</v>
      </c>
      <c r="N55" s="99" t="s">
        <v>264</v>
      </c>
      <c r="O55" s="99" t="s">
        <v>208</v>
      </c>
      <c r="P55" s="99" t="s">
        <v>218</v>
      </c>
    </row>
    <row r="56" spans="11:16" x14ac:dyDescent="0.2">
      <c r="L56" t="s">
        <v>134</v>
      </c>
      <c r="M56" s="99" t="s">
        <v>240</v>
      </c>
      <c r="N56" s="99" t="s">
        <v>265</v>
      </c>
      <c r="O56" s="99" t="s">
        <v>192</v>
      </c>
      <c r="P56" s="99" t="s">
        <v>192</v>
      </c>
    </row>
    <row r="57" spans="11:16" x14ac:dyDescent="0.2">
      <c r="K57" t="s">
        <v>200</v>
      </c>
      <c r="L57" t="s">
        <v>24</v>
      </c>
      <c r="M57" s="99" t="s">
        <v>220</v>
      </c>
      <c r="N57" s="99" t="s">
        <v>266</v>
      </c>
      <c r="O57" s="99" t="s">
        <v>209</v>
      </c>
      <c r="P57" s="99" t="s">
        <v>219</v>
      </c>
    </row>
    <row r="58" spans="11:16" x14ac:dyDescent="0.2">
      <c r="L58" t="s">
        <v>133</v>
      </c>
      <c r="M58" s="99" t="s">
        <v>241</v>
      </c>
      <c r="N58" s="99" t="s">
        <v>267</v>
      </c>
      <c r="O58" s="99" t="s">
        <v>210</v>
      </c>
      <c r="P58" s="99" t="s">
        <v>220</v>
      </c>
    </row>
    <row r="59" spans="11:16" x14ac:dyDescent="0.2">
      <c r="L59" t="s">
        <v>134</v>
      </c>
      <c r="M59" s="99" t="s">
        <v>242</v>
      </c>
      <c r="N59" s="99" t="s">
        <v>268</v>
      </c>
      <c r="O59" s="99" t="s">
        <v>192</v>
      </c>
      <c r="P59" s="99" t="s">
        <v>192</v>
      </c>
    </row>
    <row r="60" spans="11:16" x14ac:dyDescent="0.2">
      <c r="K60" t="s">
        <v>201</v>
      </c>
      <c r="L60" t="s">
        <v>24</v>
      </c>
      <c r="M60" s="99" t="s">
        <v>244</v>
      </c>
      <c r="N60" s="99" t="s">
        <v>269</v>
      </c>
      <c r="O60" s="52" t="s">
        <v>221</v>
      </c>
      <c r="P60" s="99" t="s">
        <v>223</v>
      </c>
    </row>
    <row r="61" spans="11:16" x14ac:dyDescent="0.2">
      <c r="L61" t="s">
        <v>133</v>
      </c>
      <c r="M61" s="99" t="s">
        <v>243</v>
      </c>
      <c r="N61" s="99" t="s">
        <v>270</v>
      </c>
      <c r="O61" s="99" t="s">
        <v>222</v>
      </c>
      <c r="P61" s="99" t="s">
        <v>224</v>
      </c>
    </row>
    <row r="62" spans="11:16" x14ac:dyDescent="0.2">
      <c r="L62" t="s">
        <v>134</v>
      </c>
      <c r="M62" s="99" t="s">
        <v>245</v>
      </c>
      <c r="N62" s="99" t="s">
        <v>271</v>
      </c>
      <c r="O62" s="99" t="s">
        <v>192</v>
      </c>
      <c r="P62" s="99" t="s">
        <v>192</v>
      </c>
    </row>
    <row r="63" spans="11:16" x14ac:dyDescent="0.2">
      <c r="K63" t="s">
        <v>202</v>
      </c>
      <c r="L63" t="s">
        <v>24</v>
      </c>
      <c r="M63" s="99" t="s">
        <v>246</v>
      </c>
      <c r="N63" s="99" t="s">
        <v>272</v>
      </c>
      <c r="O63" s="99" t="s">
        <v>211</v>
      </c>
      <c r="P63" s="99" t="s">
        <v>211</v>
      </c>
    </row>
    <row r="64" spans="11:16" x14ac:dyDescent="0.2">
      <c r="L64" t="s">
        <v>133</v>
      </c>
      <c r="M64" s="99" t="s">
        <v>247</v>
      </c>
      <c r="N64" s="99" t="s">
        <v>273</v>
      </c>
      <c r="O64" s="99" t="s">
        <v>212</v>
      </c>
      <c r="P64" s="99" t="s">
        <v>212</v>
      </c>
    </row>
    <row r="65" spans="12:16" x14ac:dyDescent="0.2">
      <c r="L65" t="s">
        <v>134</v>
      </c>
      <c r="M65" s="99" t="s">
        <v>248</v>
      </c>
      <c r="N65" s="99" t="s">
        <v>274</v>
      </c>
      <c r="O65" s="99" t="s">
        <v>192</v>
      </c>
      <c r="P65" s="99" t="s">
        <v>192</v>
      </c>
    </row>
  </sheetData>
  <mergeCells count="2">
    <mergeCell ref="A10:A15"/>
    <mergeCell ref="O37:P37"/>
  </mergeCells>
  <phoneticPr fontId="1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C5014-E758-DF4A-A931-58EA0E885684}">
  <dimension ref="A1:BN111"/>
  <sheetViews>
    <sheetView zoomScale="90" zoomScaleNormal="90" workbookViewId="0">
      <pane xSplit="1" ySplit="5" topLeftCell="B64" activePane="bottomRight" state="frozen"/>
      <selection pane="topRight" activeCell="B1" sqref="B1"/>
      <selection pane="bottomLeft" activeCell="A6" sqref="A6"/>
      <selection pane="bottomRight" activeCell="I89" sqref="I89"/>
    </sheetView>
  </sheetViews>
  <sheetFormatPr baseColWidth="10" defaultRowHeight="16" x14ac:dyDescent="0.2"/>
  <cols>
    <col min="1" max="1" width="5.83203125" customWidth="1"/>
    <col min="2" max="2" width="13.5" customWidth="1"/>
    <col min="3" max="3" width="15.6640625" customWidth="1"/>
    <col min="30" max="30" width="6.33203125" customWidth="1"/>
    <col min="56" max="56" width="12.33203125" bestFit="1" customWidth="1"/>
    <col min="57" max="57" width="13.33203125" bestFit="1" customWidth="1"/>
    <col min="58" max="58" width="14.33203125" bestFit="1" customWidth="1"/>
    <col min="59" max="60" width="13.6640625" bestFit="1" customWidth="1"/>
    <col min="61" max="61" width="12.6640625" bestFit="1" customWidth="1"/>
    <col min="62" max="62" width="12.33203125" bestFit="1" customWidth="1"/>
    <col min="63" max="63" width="12.6640625" bestFit="1" customWidth="1"/>
    <col min="64" max="64" width="13.6640625" bestFit="1" customWidth="1"/>
    <col min="65" max="66" width="13.6640625" customWidth="1"/>
  </cols>
  <sheetData>
    <row r="1" spans="1:66" ht="23" customHeight="1" x14ac:dyDescent="0.2">
      <c r="A1" s="1"/>
      <c r="B1" s="1"/>
      <c r="D1" s="2"/>
    </row>
    <row r="2" spans="1:66" ht="23" customHeight="1" x14ac:dyDescent="0.2">
      <c r="A2" s="3"/>
      <c r="B2" s="3"/>
      <c r="C2" s="2"/>
      <c r="D2" s="2"/>
      <c r="E2" s="2"/>
      <c r="F2" s="2"/>
      <c r="G2" s="32"/>
      <c r="J2" s="2"/>
    </row>
    <row r="3" spans="1:66" ht="23" customHeight="1" x14ac:dyDescent="0.2">
      <c r="A3" s="2"/>
      <c r="B3" s="2"/>
      <c r="C3" s="2"/>
      <c r="D3" s="2"/>
      <c r="E3" s="2"/>
    </row>
    <row r="4" spans="1:66" ht="15" customHeight="1" x14ac:dyDescent="0.2">
      <c r="A4" s="8"/>
      <c r="B4" s="9"/>
      <c r="C4" s="9"/>
      <c r="D4" s="113" t="s">
        <v>0</v>
      </c>
      <c r="E4" s="113"/>
      <c r="F4" s="114"/>
      <c r="G4" s="115" t="s">
        <v>8</v>
      </c>
      <c r="H4" s="113"/>
      <c r="I4" s="113"/>
      <c r="J4" s="111"/>
      <c r="K4" s="111"/>
      <c r="L4" s="111"/>
      <c r="M4" s="111"/>
      <c r="N4" s="111"/>
      <c r="O4" s="111"/>
      <c r="P4" s="111"/>
      <c r="Q4" s="111"/>
      <c r="R4" s="111"/>
      <c r="S4" s="111" t="s">
        <v>12</v>
      </c>
      <c r="T4" s="111"/>
      <c r="U4" s="111"/>
      <c r="V4" s="111"/>
      <c r="W4" s="111"/>
      <c r="X4" s="111"/>
      <c r="Y4" s="111"/>
      <c r="Z4" s="111"/>
      <c r="AA4" s="112"/>
      <c r="AD4" s="8"/>
      <c r="AE4" s="9"/>
      <c r="AF4" s="113" t="s">
        <v>0</v>
      </c>
      <c r="AG4" s="113"/>
      <c r="AH4" s="113"/>
      <c r="AI4" s="115" t="s">
        <v>8</v>
      </c>
      <c r="AJ4" s="113"/>
      <c r="AK4" s="114"/>
      <c r="AL4" s="118" t="s">
        <v>135</v>
      </c>
      <c r="AM4" s="118"/>
      <c r="AN4" s="118"/>
      <c r="AO4" s="118"/>
      <c r="AP4" s="118"/>
      <c r="AQ4" s="118"/>
      <c r="AR4" s="118"/>
      <c r="AS4" s="118"/>
      <c r="AT4" s="118"/>
      <c r="AU4" s="118" t="s">
        <v>12</v>
      </c>
      <c r="AV4" s="118"/>
      <c r="AW4" s="118"/>
      <c r="AX4" s="118"/>
      <c r="AY4" s="118"/>
      <c r="AZ4" s="118"/>
      <c r="BA4" s="118"/>
      <c r="BB4" s="118"/>
      <c r="BC4" s="119"/>
      <c r="BD4" s="116" t="s">
        <v>136</v>
      </c>
      <c r="BE4" s="117"/>
      <c r="BF4" s="117"/>
      <c r="BG4" s="117"/>
      <c r="BH4" s="117"/>
      <c r="BI4" s="117"/>
      <c r="BJ4" s="117"/>
      <c r="BK4" s="117"/>
      <c r="BL4" s="117"/>
      <c r="BM4" s="12"/>
      <c r="BN4" s="12"/>
    </row>
    <row r="5" spans="1:66" s="7" customFormat="1" ht="46" customHeight="1" x14ac:dyDescent="0.2">
      <c r="A5" s="16" t="s">
        <v>1</v>
      </c>
      <c r="B5" s="17" t="s">
        <v>36</v>
      </c>
      <c r="C5" s="18" t="s">
        <v>2</v>
      </c>
      <c r="D5" s="17" t="s">
        <v>3</v>
      </c>
      <c r="E5" s="17" t="s">
        <v>4</v>
      </c>
      <c r="F5" s="19" t="s">
        <v>5</v>
      </c>
      <c r="G5" s="20" t="s">
        <v>37</v>
      </c>
      <c r="H5" s="20" t="s">
        <v>38</v>
      </c>
      <c r="I5" s="20" t="s">
        <v>39</v>
      </c>
      <c r="J5" s="17" t="s">
        <v>130</v>
      </c>
      <c r="K5" s="17" t="s">
        <v>131</v>
      </c>
      <c r="L5" s="17" t="s">
        <v>132</v>
      </c>
      <c r="M5" s="17" t="s">
        <v>34</v>
      </c>
      <c r="N5" s="17" t="s">
        <v>35</v>
      </c>
      <c r="O5" s="17" t="s">
        <v>129</v>
      </c>
      <c r="P5" s="17" t="s">
        <v>9</v>
      </c>
      <c r="Q5" s="17" t="s">
        <v>10</v>
      </c>
      <c r="R5" s="19" t="s">
        <v>11</v>
      </c>
      <c r="S5" s="17" t="s">
        <v>6</v>
      </c>
      <c r="T5" s="17" t="s">
        <v>7</v>
      </c>
      <c r="U5" s="17" t="s">
        <v>33</v>
      </c>
      <c r="V5" s="17" t="s">
        <v>34</v>
      </c>
      <c r="W5" s="17" t="s">
        <v>35</v>
      </c>
      <c r="X5" s="17" t="s">
        <v>129</v>
      </c>
      <c r="Y5" s="17" t="s">
        <v>13</v>
      </c>
      <c r="Z5" s="17" t="s">
        <v>10</v>
      </c>
      <c r="AA5" s="21" t="s">
        <v>11</v>
      </c>
      <c r="AD5" s="90" t="s">
        <v>36</v>
      </c>
      <c r="AE5" s="18" t="s">
        <v>2</v>
      </c>
      <c r="AF5" s="17" t="s">
        <v>3</v>
      </c>
      <c r="AG5" s="17" t="s">
        <v>4</v>
      </c>
      <c r="AH5" s="17" t="s">
        <v>5</v>
      </c>
      <c r="AI5" s="84" t="s">
        <v>37</v>
      </c>
      <c r="AJ5" s="20" t="s">
        <v>38</v>
      </c>
      <c r="AK5" s="21" t="s">
        <v>39</v>
      </c>
      <c r="AL5" s="90" t="s">
        <v>130</v>
      </c>
      <c r="AM5" s="17" t="s">
        <v>131</v>
      </c>
      <c r="AN5" s="17" t="s">
        <v>137</v>
      </c>
      <c r="AO5" s="17" t="s">
        <v>34</v>
      </c>
      <c r="AP5" s="17" t="s">
        <v>35</v>
      </c>
      <c r="AQ5" s="17" t="s">
        <v>129</v>
      </c>
      <c r="AR5" s="17" t="s">
        <v>9</v>
      </c>
      <c r="AS5" s="17" t="s">
        <v>159</v>
      </c>
      <c r="AT5" s="19" t="s">
        <v>11</v>
      </c>
      <c r="AU5" s="17" t="s">
        <v>6</v>
      </c>
      <c r="AV5" s="17" t="s">
        <v>7</v>
      </c>
      <c r="AW5" s="17" t="s">
        <v>33</v>
      </c>
      <c r="AX5" s="17" t="s">
        <v>34</v>
      </c>
      <c r="AY5" s="17" t="s">
        <v>35</v>
      </c>
      <c r="AZ5" s="17" t="s">
        <v>129</v>
      </c>
      <c r="BA5" s="17" t="s">
        <v>13</v>
      </c>
      <c r="BB5" s="17" t="s">
        <v>159</v>
      </c>
      <c r="BC5" s="21" t="s">
        <v>11</v>
      </c>
      <c r="BD5" s="17" t="s">
        <v>6</v>
      </c>
      <c r="BE5" s="17" t="s">
        <v>7</v>
      </c>
      <c r="BF5" s="17" t="s">
        <v>33</v>
      </c>
      <c r="BG5" s="17" t="s">
        <v>34</v>
      </c>
      <c r="BH5" s="17" t="s">
        <v>35</v>
      </c>
      <c r="BI5" s="17" t="s">
        <v>129</v>
      </c>
      <c r="BJ5" s="17" t="s">
        <v>13</v>
      </c>
      <c r="BK5" s="17" t="s">
        <v>10</v>
      </c>
      <c r="BL5" s="21" t="s">
        <v>11</v>
      </c>
      <c r="BM5" s="83"/>
      <c r="BN5" s="83"/>
    </row>
    <row r="6" spans="1:66" ht="23" customHeight="1" x14ac:dyDescent="0.2">
      <c r="A6" s="22">
        <v>35</v>
      </c>
      <c r="B6" s="12">
        <v>1</v>
      </c>
      <c r="C6" s="12" t="s">
        <v>14</v>
      </c>
      <c r="D6" s="12">
        <v>0.55000000000000004</v>
      </c>
      <c r="E6" s="12">
        <v>0.53</v>
      </c>
      <c r="F6" s="23">
        <v>1</v>
      </c>
      <c r="G6" s="12">
        <v>60</v>
      </c>
      <c r="H6" s="12">
        <v>40</v>
      </c>
      <c r="I6" s="12">
        <v>0</v>
      </c>
      <c r="J6" s="22">
        <v>60</v>
      </c>
      <c r="K6" s="12">
        <v>30</v>
      </c>
      <c r="L6" s="12">
        <v>0</v>
      </c>
      <c r="M6" s="12">
        <v>10</v>
      </c>
      <c r="N6" s="12">
        <v>0</v>
      </c>
      <c r="O6" s="12">
        <v>60</v>
      </c>
      <c r="P6" s="12">
        <f>AVERAGE(13,14,19,19,20,22,10,13,23,22,18,13,16,16,15,19,13,21,21,19)</f>
        <v>17.3</v>
      </c>
      <c r="Q6" s="13">
        <v>4</v>
      </c>
      <c r="R6" s="23">
        <v>5</v>
      </c>
      <c r="S6" s="12">
        <v>60</v>
      </c>
      <c r="T6" s="12">
        <v>20</v>
      </c>
      <c r="U6" s="12">
        <v>0</v>
      </c>
      <c r="V6" s="12">
        <v>10</v>
      </c>
      <c r="W6" s="12">
        <v>10</v>
      </c>
      <c r="X6" s="12" t="s">
        <v>15</v>
      </c>
      <c r="Y6" s="12">
        <f>(14+17+23+18+12+17+13+16+14+13+17+18+19+22+21+15+18+17+20+23)/20</f>
        <v>17.350000000000001</v>
      </c>
      <c r="Z6" s="13">
        <v>4</v>
      </c>
      <c r="AA6" s="23">
        <v>5</v>
      </c>
      <c r="AD6" s="91">
        <v>1</v>
      </c>
      <c r="AE6" t="s">
        <v>24</v>
      </c>
      <c r="AF6">
        <f t="shared" ref="AF6:BC6" si="0">AVERAGE(D6,D9,D14,D17,D18, D21,D26,D29,D31,D34)</f>
        <v>0.52700000000000002</v>
      </c>
      <c r="AG6">
        <f t="shared" si="0"/>
        <v>0.44899999999999995</v>
      </c>
      <c r="AH6">
        <f t="shared" si="0"/>
        <v>0.98000000000000009</v>
      </c>
      <c r="AI6" s="85">
        <f t="shared" si="0"/>
        <v>85</v>
      </c>
      <c r="AJ6">
        <f t="shared" si="0"/>
        <v>15</v>
      </c>
      <c r="AK6" s="86">
        <f t="shared" si="0"/>
        <v>0</v>
      </c>
      <c r="AL6" s="85">
        <f t="shared" si="0"/>
        <v>76.5</v>
      </c>
      <c r="AM6">
        <f t="shared" si="0"/>
        <v>13.25</v>
      </c>
      <c r="AN6">
        <f t="shared" si="0"/>
        <v>3.75</v>
      </c>
      <c r="AO6">
        <f t="shared" si="0"/>
        <v>5</v>
      </c>
      <c r="AP6">
        <f t="shared" si="0"/>
        <v>1.5</v>
      </c>
      <c r="AQ6">
        <f t="shared" si="0"/>
        <v>38.5</v>
      </c>
      <c r="AR6">
        <f t="shared" si="0"/>
        <v>22.712499999999999</v>
      </c>
      <c r="AS6">
        <f t="shared" si="0"/>
        <v>4.3</v>
      </c>
      <c r="AT6" s="86">
        <f t="shared" si="0"/>
        <v>6</v>
      </c>
      <c r="AU6">
        <f t="shared" si="0"/>
        <v>76</v>
      </c>
      <c r="AV6">
        <f t="shared" si="0"/>
        <v>7.5</v>
      </c>
      <c r="AW6">
        <f t="shared" si="0"/>
        <v>1.5</v>
      </c>
      <c r="AX6">
        <f t="shared" si="0"/>
        <v>11</v>
      </c>
      <c r="AY6">
        <f t="shared" si="0"/>
        <v>4</v>
      </c>
      <c r="AZ6">
        <f t="shared" si="0"/>
        <v>67.5</v>
      </c>
      <c r="BA6">
        <f t="shared" si="0"/>
        <v>22.65</v>
      </c>
      <c r="BB6">
        <f t="shared" si="0"/>
        <v>4.4000000000000004</v>
      </c>
      <c r="BC6" s="86">
        <f t="shared" si="0"/>
        <v>7.1</v>
      </c>
      <c r="BD6" s="93">
        <f>((AU6-AL6)/AL6)*100</f>
        <v>-0.65359477124183007</v>
      </c>
      <c r="BE6" s="93">
        <f>((AV6-AM6)/AM6)*100</f>
        <v>-43.39622641509434</v>
      </c>
      <c r="BF6" s="93">
        <f>((AW6-AN6)/AN6)*100</f>
        <v>-60</v>
      </c>
      <c r="BG6" s="94">
        <f>((AX6-AO6)/AO6)*100</f>
        <v>120</v>
      </c>
      <c r="BH6" s="94">
        <f t="shared" ref="BH6:BL10" si="1">((AY6-AP6)/AP6)*100</f>
        <v>166.66666666666669</v>
      </c>
      <c r="BI6" s="94">
        <f t="shared" si="1"/>
        <v>75.324675324675326</v>
      </c>
      <c r="BJ6" s="93">
        <f t="shared" si="1"/>
        <v>-0.27517886626307103</v>
      </c>
      <c r="BK6" s="94">
        <f t="shared" si="1"/>
        <v>2.3255813953488498</v>
      </c>
      <c r="BL6" s="94">
        <f t="shared" si="1"/>
        <v>18.333333333333325</v>
      </c>
      <c r="BM6" s="32"/>
      <c r="BN6" s="32"/>
    </row>
    <row r="7" spans="1:66" ht="23" customHeight="1" x14ac:dyDescent="0.2">
      <c r="A7" s="22">
        <v>36</v>
      </c>
      <c r="B7" s="12">
        <v>1</v>
      </c>
      <c r="C7" s="12" t="s">
        <v>16</v>
      </c>
      <c r="D7" s="12">
        <v>0.66</v>
      </c>
      <c r="E7" s="12">
        <v>0.38</v>
      </c>
      <c r="F7" s="23">
        <v>1</v>
      </c>
      <c r="G7" s="12">
        <v>80</v>
      </c>
      <c r="H7" s="12">
        <v>20</v>
      </c>
      <c r="I7" s="12">
        <v>0</v>
      </c>
      <c r="J7" s="22">
        <v>80</v>
      </c>
      <c r="K7" s="12">
        <v>15</v>
      </c>
      <c r="L7" s="12">
        <v>0</v>
      </c>
      <c r="M7" s="12">
        <v>5</v>
      </c>
      <c r="N7" s="12">
        <v>0</v>
      </c>
      <c r="O7" s="12">
        <v>60</v>
      </c>
      <c r="P7" s="12">
        <f>AVERAGE(27,18,17,24,28,25,25,20,19,18,30,28,29,18,15,22,22,24,23,27)</f>
        <v>22.95</v>
      </c>
      <c r="Q7" s="13">
        <v>3</v>
      </c>
      <c r="R7" s="23">
        <v>5</v>
      </c>
      <c r="S7" s="12">
        <v>70</v>
      </c>
      <c r="T7" s="12">
        <v>5</v>
      </c>
      <c r="U7" s="12">
        <v>0</v>
      </c>
      <c r="V7" s="12">
        <v>15</v>
      </c>
      <c r="W7" s="12">
        <v>10</v>
      </c>
      <c r="X7" s="12" t="s">
        <v>17</v>
      </c>
      <c r="Y7" s="12">
        <f>AVERAGE(23,28,17,24,25,26,19,20,20,28,18,27,19,22,23,20,24,23,17,26)</f>
        <v>22.45</v>
      </c>
      <c r="Z7" s="13">
        <v>4</v>
      </c>
      <c r="AA7" s="23">
        <v>0</v>
      </c>
      <c r="AD7" s="91">
        <v>1</v>
      </c>
      <c r="AE7" t="s">
        <v>133</v>
      </c>
      <c r="AF7">
        <f t="shared" ref="AF7:BC7" si="2">AVERAGE(D7,D10,D13,D16,D19,D22,D25,D28,D30,D33)</f>
        <v>0.53900000000000003</v>
      </c>
      <c r="AG7">
        <f t="shared" si="2"/>
        <v>0.46500000000000002</v>
      </c>
      <c r="AH7">
        <f t="shared" si="2"/>
        <v>1</v>
      </c>
      <c r="AI7" s="85">
        <f t="shared" si="2"/>
        <v>80</v>
      </c>
      <c r="AJ7">
        <f t="shared" si="2"/>
        <v>16</v>
      </c>
      <c r="AK7" s="86">
        <f t="shared" si="2"/>
        <v>4</v>
      </c>
      <c r="AL7" s="85">
        <f t="shared" si="2"/>
        <v>80.5</v>
      </c>
      <c r="AM7">
        <f t="shared" si="2"/>
        <v>11.5</v>
      </c>
      <c r="AN7">
        <f t="shared" si="2"/>
        <v>1</v>
      </c>
      <c r="AO7">
        <f t="shared" si="2"/>
        <v>5.5</v>
      </c>
      <c r="AP7">
        <f t="shared" si="2"/>
        <v>1.5</v>
      </c>
      <c r="AQ7">
        <f t="shared" si="2"/>
        <v>42.5</v>
      </c>
      <c r="AR7">
        <f t="shared" si="2"/>
        <v>24.05</v>
      </c>
      <c r="AS7">
        <f t="shared" si="2"/>
        <v>4.0999999999999996</v>
      </c>
      <c r="AT7" s="86">
        <f t="shared" si="2"/>
        <v>2.2000000000000002</v>
      </c>
      <c r="AU7">
        <f t="shared" si="2"/>
        <v>78.5</v>
      </c>
      <c r="AV7">
        <f t="shared" si="2"/>
        <v>6.5</v>
      </c>
      <c r="AW7">
        <f t="shared" si="2"/>
        <v>0.5</v>
      </c>
      <c r="AX7">
        <f t="shared" si="2"/>
        <v>11.5</v>
      </c>
      <c r="AY7">
        <f t="shared" si="2"/>
        <v>3</v>
      </c>
      <c r="AZ7">
        <f t="shared" si="2"/>
        <v>58.75</v>
      </c>
      <c r="BA7">
        <f t="shared" si="2"/>
        <v>23.592499999999998</v>
      </c>
      <c r="BB7">
        <f t="shared" si="2"/>
        <v>4.7</v>
      </c>
      <c r="BC7" s="86">
        <f t="shared" si="2"/>
        <v>7.5</v>
      </c>
      <c r="BD7" s="93">
        <f>((AU7-AL7)/AL7)*100</f>
        <v>-2.4844720496894408</v>
      </c>
      <c r="BE7" s="93">
        <f t="shared" ref="BE7:BG10" si="3">((AV7-AM7)/AM7)*100</f>
        <v>-43.478260869565219</v>
      </c>
      <c r="BF7" s="93">
        <f t="shared" si="3"/>
        <v>-50</v>
      </c>
      <c r="BG7" s="94">
        <f t="shared" si="3"/>
        <v>109.09090909090908</v>
      </c>
      <c r="BH7" s="94">
        <f t="shared" si="1"/>
        <v>100</v>
      </c>
      <c r="BI7" s="94">
        <f t="shared" si="1"/>
        <v>38.235294117647058</v>
      </c>
      <c r="BJ7" s="93">
        <f t="shared" si="1"/>
        <v>-1.9022869022869153</v>
      </c>
      <c r="BK7" s="94">
        <f t="shared" si="1"/>
        <v>14.634146341463428</v>
      </c>
      <c r="BL7" s="94">
        <f t="shared" si="1"/>
        <v>240.90909090909088</v>
      </c>
      <c r="BM7" s="32"/>
      <c r="BN7" s="32"/>
    </row>
    <row r="8" spans="1:66" ht="23" customHeight="1" x14ac:dyDescent="0.2">
      <c r="A8" s="22">
        <v>37</v>
      </c>
      <c r="B8" s="12">
        <v>1</v>
      </c>
      <c r="C8" s="12" t="s">
        <v>18</v>
      </c>
      <c r="D8" s="12">
        <v>0.55000000000000004</v>
      </c>
      <c r="E8" s="12">
        <v>0.62</v>
      </c>
      <c r="F8" s="23">
        <v>1</v>
      </c>
      <c r="G8" s="12">
        <v>65</v>
      </c>
      <c r="H8" s="12">
        <v>35</v>
      </c>
      <c r="I8" s="12">
        <v>0</v>
      </c>
      <c r="J8" s="22">
        <v>60</v>
      </c>
      <c r="K8" s="12">
        <v>20</v>
      </c>
      <c r="L8" s="12">
        <v>10</v>
      </c>
      <c r="M8" s="12">
        <v>10</v>
      </c>
      <c r="N8" s="12">
        <v>0</v>
      </c>
      <c r="O8" s="12">
        <v>30</v>
      </c>
      <c r="P8" s="12">
        <f>AVERAGE(24,24,26,21,28,27,25,28,20,20,21,27,29,27.5,25,24,23,23,21,26)</f>
        <v>24.475000000000001</v>
      </c>
      <c r="Q8" s="13">
        <v>3</v>
      </c>
      <c r="R8" s="23">
        <v>5</v>
      </c>
      <c r="S8" s="12">
        <v>70</v>
      </c>
      <c r="T8" s="12">
        <v>5</v>
      </c>
      <c r="U8" s="12">
        <v>0</v>
      </c>
      <c r="V8" s="12">
        <v>15</v>
      </c>
      <c r="W8" s="12">
        <v>10</v>
      </c>
      <c r="X8" s="12" t="s">
        <v>19</v>
      </c>
      <c r="Y8" s="12">
        <f>AVERAGE(24,24,21,29,21,26,25.5,28,27,29,30,25,22,24,20,25,20,28,26)</f>
        <v>24.973684210526315</v>
      </c>
      <c r="Z8" s="13">
        <v>4</v>
      </c>
      <c r="AA8" s="23">
        <v>10</v>
      </c>
      <c r="AD8" s="91">
        <v>1</v>
      </c>
      <c r="AE8" t="s">
        <v>134</v>
      </c>
      <c r="AF8">
        <f t="shared" ref="AF8:BC8" si="4">AVERAGE(D8,D11,D12,D15,D20,D23,D24,D27,D32,D35)</f>
        <v>0.52200000000000002</v>
      </c>
      <c r="AG8">
        <f t="shared" si="4"/>
        <v>0.46100000000000002</v>
      </c>
      <c r="AH8">
        <f t="shared" si="4"/>
        <v>0.97800000000000009</v>
      </c>
      <c r="AI8" s="85">
        <f t="shared" si="4"/>
        <v>83</v>
      </c>
      <c r="AJ8">
        <f t="shared" si="4"/>
        <v>17</v>
      </c>
      <c r="AK8" s="86">
        <f t="shared" si="4"/>
        <v>0</v>
      </c>
      <c r="AL8" s="85">
        <f t="shared" si="4"/>
        <v>79</v>
      </c>
      <c r="AM8">
        <f t="shared" si="4"/>
        <v>13.05</v>
      </c>
      <c r="AN8">
        <f t="shared" si="4"/>
        <v>1</v>
      </c>
      <c r="AO8">
        <f t="shared" si="4"/>
        <v>5.95</v>
      </c>
      <c r="AP8">
        <f t="shared" si="4"/>
        <v>1</v>
      </c>
      <c r="AQ8">
        <f t="shared" si="4"/>
        <v>28.5</v>
      </c>
      <c r="AR8">
        <f t="shared" si="4"/>
        <v>23.393000000000004</v>
      </c>
      <c r="AS8">
        <f t="shared" si="4"/>
        <v>3.8</v>
      </c>
      <c r="AT8" s="86">
        <f t="shared" si="4"/>
        <v>4.4000000000000004</v>
      </c>
      <c r="AU8">
        <f t="shared" si="4"/>
        <v>72</v>
      </c>
      <c r="AV8">
        <f t="shared" si="4"/>
        <v>13</v>
      </c>
      <c r="AW8">
        <f t="shared" si="4"/>
        <v>0</v>
      </c>
      <c r="AX8">
        <f t="shared" si="4"/>
        <v>13.5</v>
      </c>
      <c r="AY8">
        <f t="shared" si="4"/>
        <v>2</v>
      </c>
      <c r="AZ8">
        <f t="shared" si="4"/>
        <v>38</v>
      </c>
      <c r="BA8">
        <f t="shared" si="4"/>
        <v>23.850657894736841</v>
      </c>
      <c r="BB8">
        <f t="shared" si="4"/>
        <v>4.8</v>
      </c>
      <c r="BC8" s="86">
        <f t="shared" si="4"/>
        <v>7.4</v>
      </c>
      <c r="BD8" s="93">
        <f>((AU8-AL8)/AL8)*100</f>
        <v>-8.8607594936708853</v>
      </c>
      <c r="BE8" s="93">
        <f t="shared" si="3"/>
        <v>-0.38314176245211273</v>
      </c>
      <c r="BF8" s="93">
        <f t="shared" si="3"/>
        <v>-100</v>
      </c>
      <c r="BG8" s="94">
        <f t="shared" si="3"/>
        <v>126.890756302521</v>
      </c>
      <c r="BH8" s="94">
        <f t="shared" si="1"/>
        <v>100</v>
      </c>
      <c r="BI8" s="94">
        <f t="shared" si="1"/>
        <v>33.333333333333329</v>
      </c>
      <c r="BJ8" s="94">
        <f t="shared" si="1"/>
        <v>1.9563882132981523</v>
      </c>
      <c r="BK8" s="94">
        <f t="shared" si="1"/>
        <v>26.315789473684209</v>
      </c>
      <c r="BL8" s="94">
        <f t="shared" si="1"/>
        <v>68.181818181818173</v>
      </c>
      <c r="BM8" s="32"/>
      <c r="BN8" s="32"/>
    </row>
    <row r="9" spans="1:66" ht="23" customHeight="1" x14ac:dyDescent="0.2">
      <c r="A9" s="22">
        <v>38</v>
      </c>
      <c r="B9" s="12">
        <v>1</v>
      </c>
      <c r="C9" s="12" t="s">
        <v>14</v>
      </c>
      <c r="D9" s="12">
        <v>0.56000000000000005</v>
      </c>
      <c r="E9" s="12">
        <v>0.52</v>
      </c>
      <c r="F9" s="23">
        <v>1</v>
      </c>
      <c r="G9" s="12">
        <v>75</v>
      </c>
      <c r="H9" s="12">
        <v>25</v>
      </c>
      <c r="I9" s="12">
        <v>0</v>
      </c>
      <c r="J9" s="22">
        <v>75</v>
      </c>
      <c r="K9" s="12">
        <v>15</v>
      </c>
      <c r="L9" s="12">
        <v>5</v>
      </c>
      <c r="M9" s="12">
        <v>5</v>
      </c>
      <c r="N9" s="12">
        <v>0</v>
      </c>
      <c r="O9" s="12">
        <v>50</v>
      </c>
      <c r="P9" s="12">
        <f>AVERAGE(25,22,24,20,24,28,27,23,22,30,28,29,21,20,23,23,20,21,27,26)</f>
        <v>24.15</v>
      </c>
      <c r="Q9" s="13">
        <v>4</v>
      </c>
      <c r="R9" s="23">
        <v>5</v>
      </c>
      <c r="S9" s="12">
        <v>75</v>
      </c>
      <c r="T9" s="12">
        <v>10</v>
      </c>
      <c r="U9" s="12">
        <v>0</v>
      </c>
      <c r="V9" s="12">
        <v>10</v>
      </c>
      <c r="W9" s="12">
        <v>5</v>
      </c>
      <c r="X9" s="12" t="s">
        <v>20</v>
      </c>
      <c r="Y9" s="12">
        <f>AVERAGE(22,28,26,25,26.5,22,20,28,21,22,27,24,23,24,20,29,23,23,28,21)</f>
        <v>24.125</v>
      </c>
      <c r="Z9" s="13">
        <v>4</v>
      </c>
      <c r="AA9" s="23">
        <v>5</v>
      </c>
      <c r="AD9" s="91">
        <v>2</v>
      </c>
      <c r="AE9" t="s">
        <v>24</v>
      </c>
      <c r="AF9">
        <f t="shared" ref="AF9:BC9" si="5">AVERAGE(D36:D40,D46:D50)</f>
        <v>0.152</v>
      </c>
      <c r="AG9">
        <f t="shared" si="5"/>
        <v>0.54299999999999993</v>
      </c>
      <c r="AH9">
        <f t="shared" si="5"/>
        <v>0.93799999999999994</v>
      </c>
      <c r="AI9" s="85">
        <f t="shared" si="5"/>
        <v>100</v>
      </c>
      <c r="AJ9">
        <f t="shared" si="5"/>
        <v>0</v>
      </c>
      <c r="AK9" s="86">
        <f t="shared" si="5"/>
        <v>0</v>
      </c>
      <c r="AL9" s="85">
        <f t="shared" si="5"/>
        <v>83.9</v>
      </c>
      <c r="AM9">
        <f t="shared" si="5"/>
        <v>16.100000000000001</v>
      </c>
      <c r="AN9">
        <f t="shared" si="5"/>
        <v>0</v>
      </c>
      <c r="AO9">
        <f t="shared" si="5"/>
        <v>0</v>
      </c>
      <c r="AP9">
        <f t="shared" si="5"/>
        <v>0</v>
      </c>
      <c r="AQ9">
        <f t="shared" si="5"/>
        <v>14</v>
      </c>
      <c r="AR9">
        <f t="shared" si="5"/>
        <v>10.946052631578949</v>
      </c>
      <c r="AS9">
        <f t="shared" si="5"/>
        <v>3.5</v>
      </c>
      <c r="AT9" s="86">
        <f t="shared" si="5"/>
        <v>1</v>
      </c>
      <c r="AU9">
        <f t="shared" si="5"/>
        <v>78.5</v>
      </c>
      <c r="AV9">
        <f t="shared" si="5"/>
        <v>21.5</v>
      </c>
      <c r="AW9">
        <f t="shared" si="5"/>
        <v>0</v>
      </c>
      <c r="AX9">
        <f t="shared" si="5"/>
        <v>0</v>
      </c>
      <c r="AY9">
        <f t="shared" si="5"/>
        <v>0</v>
      </c>
      <c r="AZ9">
        <f t="shared" si="5"/>
        <v>15.5</v>
      </c>
      <c r="BA9">
        <f t="shared" si="5"/>
        <v>11.797142857142857</v>
      </c>
      <c r="BB9">
        <f t="shared" si="5"/>
        <v>3.6</v>
      </c>
      <c r="BC9" s="86">
        <f t="shared" si="5"/>
        <v>1</v>
      </c>
      <c r="BD9" s="93">
        <f t="shared" ref="BD9:BD10" si="6">((AU9-AL9)/AL9)*100</f>
        <v>-6.4362336114421996</v>
      </c>
      <c r="BE9" s="94">
        <f t="shared" si="3"/>
        <v>33.540372670807436</v>
      </c>
      <c r="BF9" s="32">
        <v>0</v>
      </c>
      <c r="BG9" s="32">
        <v>0</v>
      </c>
      <c r="BH9" s="32">
        <v>0</v>
      </c>
      <c r="BI9" s="94">
        <f t="shared" si="1"/>
        <v>10.714285714285714</v>
      </c>
      <c r="BJ9" s="94">
        <f t="shared" si="1"/>
        <v>7.7753164013531686</v>
      </c>
      <c r="BK9" s="94">
        <f t="shared" si="1"/>
        <v>2.8571428571428599</v>
      </c>
      <c r="BL9" s="32">
        <f t="shared" si="1"/>
        <v>0</v>
      </c>
      <c r="BM9" s="32"/>
      <c r="BN9" s="32"/>
    </row>
    <row r="10" spans="1:66" ht="23" customHeight="1" x14ac:dyDescent="0.2">
      <c r="A10" s="22">
        <v>39</v>
      </c>
      <c r="B10" s="12">
        <v>1</v>
      </c>
      <c r="C10" s="12" t="s">
        <v>16</v>
      </c>
      <c r="D10" s="12">
        <v>0.53</v>
      </c>
      <c r="E10" s="12">
        <v>0.66</v>
      </c>
      <c r="F10" s="23">
        <v>1</v>
      </c>
      <c r="G10" s="12">
        <v>60</v>
      </c>
      <c r="H10" s="12">
        <v>40</v>
      </c>
      <c r="I10" s="12">
        <v>0</v>
      </c>
      <c r="J10" s="22">
        <v>80</v>
      </c>
      <c r="K10" s="12">
        <v>10</v>
      </c>
      <c r="L10" s="12">
        <v>0</v>
      </c>
      <c r="M10" s="12">
        <v>5</v>
      </c>
      <c r="N10" s="12">
        <v>5</v>
      </c>
      <c r="O10" s="12">
        <v>40</v>
      </c>
      <c r="P10" s="12">
        <f>AVERAGE(23,22,23,27,28,21,27,26,25,24,24,27,22,21,20,27,30,24,22,25)</f>
        <v>24.4</v>
      </c>
      <c r="Q10" s="13">
        <v>4</v>
      </c>
      <c r="R10" s="23">
        <v>5</v>
      </c>
      <c r="S10" s="12">
        <v>70</v>
      </c>
      <c r="T10" s="12">
        <v>10</v>
      </c>
      <c r="U10" s="12">
        <v>0</v>
      </c>
      <c r="V10" s="12">
        <v>20</v>
      </c>
      <c r="W10" s="12">
        <v>0</v>
      </c>
      <c r="X10" s="12" t="s">
        <v>21</v>
      </c>
      <c r="Y10" s="12">
        <f>AVERAGE(27,21,23,29,28,25,25,22,24,27,24,26.5,21,20,22,26,29,28,23,21)</f>
        <v>24.574999999999999</v>
      </c>
      <c r="Z10" s="13">
        <v>5</v>
      </c>
      <c r="AA10" s="23">
        <v>10</v>
      </c>
      <c r="AD10" s="92">
        <v>2</v>
      </c>
      <c r="AE10" s="88" t="s">
        <v>133</v>
      </c>
      <c r="AF10" s="88">
        <f t="shared" ref="AF10:BC10" si="7">AVERAGE(D41:D45,D51:D55)</f>
        <v>0.16299999999999998</v>
      </c>
      <c r="AG10" s="88">
        <f t="shared" si="7"/>
        <v>0.56000000000000016</v>
      </c>
      <c r="AH10" s="88">
        <f t="shared" si="7"/>
        <v>0.91400000000000003</v>
      </c>
      <c r="AI10" s="87">
        <f t="shared" si="7"/>
        <v>100</v>
      </c>
      <c r="AJ10" s="88">
        <f t="shared" si="7"/>
        <v>0</v>
      </c>
      <c r="AK10" s="89">
        <f t="shared" si="7"/>
        <v>0</v>
      </c>
      <c r="AL10" s="87">
        <f t="shared" si="7"/>
        <v>86.6</v>
      </c>
      <c r="AM10" s="88">
        <f t="shared" si="7"/>
        <v>13.4</v>
      </c>
      <c r="AN10" s="88">
        <f t="shared" si="7"/>
        <v>0</v>
      </c>
      <c r="AO10" s="88">
        <f t="shared" si="7"/>
        <v>0</v>
      </c>
      <c r="AP10" s="88">
        <f t="shared" si="7"/>
        <v>0</v>
      </c>
      <c r="AQ10" s="88">
        <f t="shared" si="7"/>
        <v>14.5</v>
      </c>
      <c r="AR10" s="88">
        <f t="shared" si="7"/>
        <v>11.372738095238095</v>
      </c>
      <c r="AS10" s="88">
        <f t="shared" si="7"/>
        <v>3.4</v>
      </c>
      <c r="AT10" s="89">
        <f t="shared" si="7"/>
        <v>0</v>
      </c>
      <c r="AU10" s="88">
        <f t="shared" si="7"/>
        <v>91</v>
      </c>
      <c r="AV10" s="88">
        <f t="shared" si="7"/>
        <v>9</v>
      </c>
      <c r="AW10" s="88">
        <f t="shared" si="7"/>
        <v>0</v>
      </c>
      <c r="AX10" s="88">
        <f t="shared" si="7"/>
        <v>0</v>
      </c>
      <c r="AY10" s="88">
        <f t="shared" si="7"/>
        <v>0</v>
      </c>
      <c r="AZ10" s="88">
        <f t="shared" si="7"/>
        <v>17.5</v>
      </c>
      <c r="BA10" s="88">
        <f t="shared" si="7"/>
        <v>12.105</v>
      </c>
      <c r="BB10" s="88">
        <f t="shared" si="7"/>
        <v>4.3</v>
      </c>
      <c r="BC10" s="89">
        <f t="shared" si="7"/>
        <v>0</v>
      </c>
      <c r="BD10" s="94">
        <f t="shared" si="6"/>
        <v>5.080831408775988</v>
      </c>
      <c r="BE10" s="93">
        <f t="shared" si="3"/>
        <v>-32.835820895522389</v>
      </c>
      <c r="BF10" s="32">
        <v>0</v>
      </c>
      <c r="BG10" s="32">
        <v>0</v>
      </c>
      <c r="BH10" s="32">
        <v>0</v>
      </c>
      <c r="BI10" s="94">
        <f t="shared" si="1"/>
        <v>20.689655172413794</v>
      </c>
      <c r="BJ10" s="94">
        <f t="shared" si="1"/>
        <v>6.4387476316588419</v>
      </c>
      <c r="BK10" s="94">
        <f t="shared" si="1"/>
        <v>26.47058823529412</v>
      </c>
      <c r="BL10" s="32">
        <v>0</v>
      </c>
      <c r="BM10" s="32"/>
      <c r="BN10" s="32"/>
    </row>
    <row r="11" spans="1:66" ht="23" customHeight="1" x14ac:dyDescent="0.2">
      <c r="A11" s="22">
        <v>40</v>
      </c>
      <c r="B11" s="12">
        <v>1</v>
      </c>
      <c r="C11" s="12" t="s">
        <v>22</v>
      </c>
      <c r="D11" s="12">
        <v>0.48</v>
      </c>
      <c r="E11" s="12">
        <v>0.64</v>
      </c>
      <c r="F11" s="23">
        <v>1</v>
      </c>
      <c r="G11" s="12">
        <v>20</v>
      </c>
      <c r="H11" s="12">
        <v>80</v>
      </c>
      <c r="I11" s="12">
        <v>0</v>
      </c>
      <c r="J11" s="22">
        <v>80</v>
      </c>
      <c r="K11" s="12">
        <v>18</v>
      </c>
      <c r="L11" s="12">
        <v>0</v>
      </c>
      <c r="M11" s="12">
        <v>2</v>
      </c>
      <c r="N11" s="12">
        <v>0</v>
      </c>
      <c r="O11" s="12">
        <v>40</v>
      </c>
      <c r="P11" s="12">
        <f>AVERAGE(21,20,20,25,23,23,24,21,28,27,20,20,21,24,23,25,26,22,23,20)</f>
        <v>22.8</v>
      </c>
      <c r="Q11" s="13">
        <v>4</v>
      </c>
      <c r="R11" s="23">
        <v>0</v>
      </c>
      <c r="S11" s="12">
        <v>80</v>
      </c>
      <c r="T11" s="12">
        <v>10</v>
      </c>
      <c r="U11" s="12">
        <v>0</v>
      </c>
      <c r="V11" s="12">
        <v>0</v>
      </c>
      <c r="W11" s="12">
        <v>10</v>
      </c>
      <c r="X11" s="12" t="s">
        <v>23</v>
      </c>
      <c r="Y11" s="12">
        <f>AVERAGE(24,22,20,22.5,26,26,24,23,21,20,21,24,27,26,23,23,28,25,24)</f>
        <v>23.657894736842106</v>
      </c>
      <c r="Z11" s="13">
        <v>5</v>
      </c>
      <c r="AA11" s="23">
        <v>7</v>
      </c>
    </row>
    <row r="12" spans="1:66" ht="23" customHeight="1" x14ac:dyDescent="0.2">
      <c r="A12" s="22">
        <v>41</v>
      </c>
      <c r="B12" s="12">
        <v>1</v>
      </c>
      <c r="C12" s="12" t="s">
        <v>22</v>
      </c>
      <c r="D12" s="12">
        <v>0.47</v>
      </c>
      <c r="E12" s="12">
        <v>0.33</v>
      </c>
      <c r="F12" s="23">
        <v>1</v>
      </c>
      <c r="G12" s="12">
        <v>90</v>
      </c>
      <c r="H12" s="12">
        <v>10</v>
      </c>
      <c r="I12" s="12">
        <v>0</v>
      </c>
      <c r="J12" s="22">
        <v>85</v>
      </c>
      <c r="K12" s="12">
        <v>7.5</v>
      </c>
      <c r="L12" s="12">
        <v>0</v>
      </c>
      <c r="M12" s="12">
        <v>7.5</v>
      </c>
      <c r="N12" s="12">
        <v>0</v>
      </c>
      <c r="O12" s="12">
        <v>25</v>
      </c>
      <c r="P12" s="12">
        <f>AVERAGE(20,14,18,18,20,21,22,23,21,20,19,18,25,20,21,19,18,20,21,23)</f>
        <v>20.05</v>
      </c>
      <c r="Q12" s="13">
        <v>4</v>
      </c>
      <c r="R12" s="23">
        <v>5</v>
      </c>
      <c r="S12" s="12">
        <v>70</v>
      </c>
      <c r="T12" s="12">
        <v>15</v>
      </c>
      <c r="U12" s="12">
        <v>0</v>
      </c>
      <c r="V12" s="12">
        <v>15</v>
      </c>
      <c r="W12" s="12">
        <v>0</v>
      </c>
      <c r="X12" s="12">
        <v>30</v>
      </c>
      <c r="Y12" s="12">
        <f>AVERAGE(18,21,24,20,22,19,25,23,22,20,23,20,19,24,18,21,23,25,18,19)</f>
        <v>21.2</v>
      </c>
      <c r="Z12" s="13">
        <v>5</v>
      </c>
      <c r="AA12" s="23">
        <v>4</v>
      </c>
      <c r="AD12" s="5"/>
    </row>
    <row r="13" spans="1:66" ht="23" customHeight="1" x14ac:dyDescent="0.2">
      <c r="A13" s="22">
        <v>42</v>
      </c>
      <c r="B13" s="12">
        <v>1</v>
      </c>
      <c r="C13" s="12" t="s">
        <v>16</v>
      </c>
      <c r="D13" s="12">
        <v>0.54</v>
      </c>
      <c r="E13" s="12">
        <v>0.33</v>
      </c>
      <c r="F13" s="23">
        <v>1</v>
      </c>
      <c r="G13" s="12">
        <v>60</v>
      </c>
      <c r="H13" s="12">
        <v>40</v>
      </c>
      <c r="I13" s="12">
        <v>0</v>
      </c>
      <c r="J13" s="22">
        <v>85</v>
      </c>
      <c r="K13" s="12">
        <v>7.5</v>
      </c>
      <c r="L13" s="12">
        <v>0</v>
      </c>
      <c r="M13" s="12">
        <v>7.5</v>
      </c>
      <c r="N13" s="12">
        <v>0</v>
      </c>
      <c r="O13" s="12">
        <v>20</v>
      </c>
      <c r="P13" s="12">
        <f>AVERAGE(19,23,20,20,18,24,22,23,25,23,19,18,20,18,18,21,21,22,20,18)</f>
        <v>20.6</v>
      </c>
      <c r="Q13" s="13">
        <v>4</v>
      </c>
      <c r="R13" s="23">
        <v>2</v>
      </c>
      <c r="S13" s="12">
        <v>60</v>
      </c>
      <c r="T13" s="12">
        <v>20</v>
      </c>
      <c r="U13" s="12">
        <v>0</v>
      </c>
      <c r="V13" s="12">
        <v>10</v>
      </c>
      <c r="W13" s="12">
        <v>10</v>
      </c>
      <c r="X13" s="12">
        <v>50</v>
      </c>
      <c r="Y13" s="12">
        <f>AVERAGE(17,20,22,19,24,21,25,23,22,21,20,20.5,18,23,17,18,24,22,20,19)</f>
        <v>20.774999999999999</v>
      </c>
      <c r="Z13" s="13">
        <v>5</v>
      </c>
      <c r="AA13" s="23">
        <v>8</v>
      </c>
      <c r="AD13" s="5"/>
    </row>
    <row r="14" spans="1:66" ht="23" customHeight="1" x14ac:dyDescent="0.2">
      <c r="A14" s="22">
        <v>43</v>
      </c>
      <c r="B14" s="12">
        <v>1</v>
      </c>
      <c r="C14" s="12" t="s">
        <v>14</v>
      </c>
      <c r="D14" s="12">
        <v>0.46</v>
      </c>
      <c r="E14" s="12">
        <v>0.49</v>
      </c>
      <c r="F14" s="23">
        <v>1</v>
      </c>
      <c r="G14" s="12">
        <v>75</v>
      </c>
      <c r="H14" s="12">
        <v>25</v>
      </c>
      <c r="I14" s="12">
        <v>0</v>
      </c>
      <c r="J14" s="22">
        <v>70</v>
      </c>
      <c r="K14" s="12">
        <v>20</v>
      </c>
      <c r="L14" s="12">
        <v>0</v>
      </c>
      <c r="M14" s="12">
        <v>5</v>
      </c>
      <c r="N14" s="12">
        <v>5</v>
      </c>
      <c r="O14" s="12">
        <v>25</v>
      </c>
      <c r="P14" s="12">
        <f>AVERAGE(26,20,25,21,25,24,27,23,18,19,18,21,20,24,23,25,18,27,23,21)</f>
        <v>22.4</v>
      </c>
      <c r="Q14" s="13">
        <v>5</v>
      </c>
      <c r="R14" s="23">
        <v>5</v>
      </c>
      <c r="S14" s="12">
        <v>75</v>
      </c>
      <c r="T14" s="12">
        <v>10</v>
      </c>
      <c r="U14" s="12">
        <v>0</v>
      </c>
      <c r="V14" s="12">
        <v>15</v>
      </c>
      <c r="W14" s="12">
        <v>0</v>
      </c>
      <c r="X14" s="12">
        <v>80</v>
      </c>
      <c r="Y14" s="12">
        <f>AVERAGE(26,19,20,25,24,26,21,23,18,20,24,27,23,20,18,20,26,19,23,27)</f>
        <v>22.45</v>
      </c>
      <c r="Z14" s="13">
        <v>5</v>
      </c>
      <c r="AA14" s="23">
        <v>5</v>
      </c>
      <c r="AD14" s="5"/>
    </row>
    <row r="15" spans="1:66" ht="23" customHeight="1" x14ac:dyDescent="0.2">
      <c r="A15" s="22">
        <v>44</v>
      </c>
      <c r="B15" s="12">
        <v>1</v>
      </c>
      <c r="C15" s="12" t="s">
        <v>22</v>
      </c>
      <c r="D15" s="12">
        <v>0.56999999999999995</v>
      </c>
      <c r="E15" s="12">
        <v>0.57999999999999996</v>
      </c>
      <c r="F15" s="23">
        <v>1</v>
      </c>
      <c r="G15" s="12">
        <v>95</v>
      </c>
      <c r="H15" s="12">
        <v>5</v>
      </c>
      <c r="I15" s="12">
        <v>0</v>
      </c>
      <c r="J15" s="22">
        <v>90</v>
      </c>
      <c r="K15" s="12">
        <v>5</v>
      </c>
      <c r="L15" s="12">
        <v>0</v>
      </c>
      <c r="M15" s="12">
        <v>2.5</v>
      </c>
      <c r="N15" s="12">
        <v>2.5</v>
      </c>
      <c r="O15" s="12">
        <v>30</v>
      </c>
      <c r="P15" s="12">
        <f>AVERAGE(22,22,25,24,23,21,20,21,22,25,24,23.5,23,20,22,21,23,21,24,20)</f>
        <v>22.324999999999999</v>
      </c>
      <c r="Q15" s="13">
        <v>3</v>
      </c>
      <c r="R15" s="23">
        <v>5</v>
      </c>
      <c r="S15" s="12">
        <v>85</v>
      </c>
      <c r="T15" s="12">
        <v>5</v>
      </c>
      <c r="U15" s="12">
        <v>0</v>
      </c>
      <c r="V15" s="12">
        <v>10</v>
      </c>
      <c r="W15" s="12">
        <v>0</v>
      </c>
      <c r="X15" s="12">
        <v>70</v>
      </c>
      <c r="Y15" s="12">
        <f>AVERAGE(24,18,20,22,21,22,26,25,22,20,23,26,19,20,22,24,27,23,24,23)</f>
        <v>22.55</v>
      </c>
      <c r="Z15" s="13">
        <v>4</v>
      </c>
      <c r="AA15" s="23">
        <v>10</v>
      </c>
      <c r="AD15" s="5"/>
    </row>
    <row r="16" spans="1:66" ht="23" customHeight="1" x14ac:dyDescent="0.2">
      <c r="A16" s="22">
        <v>45</v>
      </c>
      <c r="B16" s="12">
        <v>1</v>
      </c>
      <c r="C16" s="12" t="s">
        <v>16</v>
      </c>
      <c r="D16" s="12">
        <v>0.54</v>
      </c>
      <c r="E16" s="12">
        <v>0.7</v>
      </c>
      <c r="F16" s="23">
        <v>1</v>
      </c>
      <c r="G16" s="12">
        <v>60</v>
      </c>
      <c r="H16" s="12">
        <v>0</v>
      </c>
      <c r="I16" s="12">
        <v>40</v>
      </c>
      <c r="J16" s="22">
        <v>80</v>
      </c>
      <c r="K16" s="12">
        <v>10</v>
      </c>
      <c r="L16" s="12">
        <v>5</v>
      </c>
      <c r="M16" s="12">
        <v>5</v>
      </c>
      <c r="N16" s="12">
        <v>0</v>
      </c>
      <c r="O16" s="12">
        <v>30</v>
      </c>
      <c r="P16" s="12">
        <f>AVERAGE(27,28,24,30,27,25,23,26,30,28,29,29,27,25,24,27,28,22,29,25)</f>
        <v>26.65</v>
      </c>
      <c r="Q16" s="13">
        <v>4</v>
      </c>
      <c r="R16" s="23">
        <v>0</v>
      </c>
      <c r="S16" s="12">
        <v>90</v>
      </c>
      <c r="T16" s="12">
        <v>0</v>
      </c>
      <c r="U16" s="12">
        <v>0</v>
      </c>
      <c r="V16" s="12">
        <v>10</v>
      </c>
      <c r="W16" s="12">
        <v>0</v>
      </c>
      <c r="X16" s="12">
        <v>45</v>
      </c>
      <c r="Y16" s="12">
        <f>AVERAGE(25,26,28,27,20,21,20,24,23,25,27,22,21,20,26,25,28,29,27,24)</f>
        <v>24.4</v>
      </c>
      <c r="Z16" s="13">
        <v>4</v>
      </c>
      <c r="AA16" s="23">
        <v>10</v>
      </c>
      <c r="AD16" s="5"/>
    </row>
    <row r="17" spans="1:30" ht="23" customHeight="1" x14ac:dyDescent="0.2">
      <c r="A17" s="22">
        <v>46</v>
      </c>
      <c r="B17" s="12">
        <v>1</v>
      </c>
      <c r="C17" s="12" t="s">
        <v>24</v>
      </c>
      <c r="D17" s="12">
        <v>0.56999999999999995</v>
      </c>
      <c r="E17" s="12">
        <v>0.42</v>
      </c>
      <c r="F17" s="23">
        <v>1</v>
      </c>
      <c r="G17" s="12">
        <v>100</v>
      </c>
      <c r="H17" s="12">
        <v>0</v>
      </c>
      <c r="I17" s="12">
        <v>0</v>
      </c>
      <c r="J17" s="22">
        <v>70</v>
      </c>
      <c r="K17" s="12">
        <v>20</v>
      </c>
      <c r="L17" s="12">
        <v>0</v>
      </c>
      <c r="M17" s="12">
        <v>5</v>
      </c>
      <c r="N17" s="12">
        <v>5</v>
      </c>
      <c r="O17" s="12">
        <v>20</v>
      </c>
      <c r="P17" s="12">
        <f>AVERAGE(27,22,25,21,20,29,28,27,22,26,24,23,23,22,21,20,20.5,25,23,26)</f>
        <v>23.725000000000001</v>
      </c>
      <c r="Q17" s="13">
        <v>4</v>
      </c>
      <c r="R17" s="23">
        <v>5</v>
      </c>
      <c r="S17" s="12">
        <v>80</v>
      </c>
      <c r="T17" s="12">
        <v>10</v>
      </c>
      <c r="U17" s="12">
        <v>0</v>
      </c>
      <c r="V17" s="12">
        <v>10</v>
      </c>
      <c r="W17" s="12">
        <v>0</v>
      </c>
      <c r="X17" s="12" t="s">
        <v>25</v>
      </c>
      <c r="Y17" s="12">
        <f>AVERAGE(20,24,23,26,21,25,23,27,26,20,21,28,24,26,25,21,23,20,27,22)</f>
        <v>23.6</v>
      </c>
      <c r="Z17" s="13">
        <v>4</v>
      </c>
      <c r="AA17" s="23">
        <v>5</v>
      </c>
      <c r="AD17" s="5"/>
    </row>
    <row r="18" spans="1:30" ht="23" customHeight="1" x14ac:dyDescent="0.2">
      <c r="A18" s="22">
        <v>47</v>
      </c>
      <c r="B18" s="12">
        <v>1</v>
      </c>
      <c r="C18" s="12" t="s">
        <v>24</v>
      </c>
      <c r="D18" s="12">
        <v>0.56000000000000005</v>
      </c>
      <c r="E18" s="12">
        <v>0.34</v>
      </c>
      <c r="F18" s="23">
        <v>1</v>
      </c>
      <c r="G18" s="12">
        <v>100</v>
      </c>
      <c r="H18" s="12">
        <v>0</v>
      </c>
      <c r="I18" s="12">
        <v>0</v>
      </c>
      <c r="J18" s="22">
        <v>90</v>
      </c>
      <c r="K18" s="12">
        <v>5</v>
      </c>
      <c r="L18" s="12">
        <v>2.5</v>
      </c>
      <c r="M18" s="12">
        <v>2.5</v>
      </c>
      <c r="N18" s="12">
        <v>0</v>
      </c>
      <c r="O18" s="12">
        <v>40</v>
      </c>
      <c r="P18" s="12">
        <f>AVERAGE(25,24,25,29,26,20,22,28,26,21,21,25,27,28,26,24,29,23,22,20)</f>
        <v>24.55</v>
      </c>
      <c r="Q18" s="13">
        <v>5</v>
      </c>
      <c r="R18" s="23">
        <v>5</v>
      </c>
      <c r="S18" s="12">
        <v>90</v>
      </c>
      <c r="T18" s="12">
        <v>0</v>
      </c>
      <c r="U18" s="12">
        <v>0</v>
      </c>
      <c r="V18" s="12">
        <v>10</v>
      </c>
      <c r="W18" s="12">
        <v>0</v>
      </c>
      <c r="X18" s="12" t="s">
        <v>26</v>
      </c>
      <c r="Y18" s="12">
        <f>AVERAGE(25.5,27,20,22,24,25,21,23,27,27,25,20,28,20,28,26,24,25,28,26)</f>
        <v>24.574999999999999</v>
      </c>
      <c r="Z18" s="13">
        <v>5</v>
      </c>
      <c r="AA18" s="23">
        <v>14</v>
      </c>
      <c r="AD18" s="5"/>
    </row>
    <row r="19" spans="1:30" ht="23" customHeight="1" x14ac:dyDescent="0.2">
      <c r="A19" s="22">
        <v>48</v>
      </c>
      <c r="B19" s="12">
        <v>1</v>
      </c>
      <c r="C19" s="12" t="s">
        <v>16</v>
      </c>
      <c r="D19" s="12">
        <v>0.54</v>
      </c>
      <c r="E19" s="12">
        <v>0.56000000000000005</v>
      </c>
      <c r="F19" s="23">
        <v>1</v>
      </c>
      <c r="G19" s="12">
        <v>100</v>
      </c>
      <c r="H19" s="12">
        <v>0</v>
      </c>
      <c r="I19" s="12">
        <v>0</v>
      </c>
      <c r="J19" s="22">
        <v>70</v>
      </c>
      <c r="K19" s="12">
        <v>20</v>
      </c>
      <c r="L19" s="12">
        <v>5</v>
      </c>
      <c r="M19" s="12">
        <v>5</v>
      </c>
      <c r="N19" s="12">
        <v>0</v>
      </c>
      <c r="O19" s="12">
        <v>55</v>
      </c>
      <c r="P19" s="12">
        <f>AVERAGE(23,28,17,19,24,22,25,15,16.5,17,19,18,21,23,18,24,16,16,21,20)</f>
        <v>20.125</v>
      </c>
      <c r="Q19" s="13">
        <v>4</v>
      </c>
      <c r="R19" s="23">
        <v>5</v>
      </c>
      <c r="S19" s="12">
        <v>85</v>
      </c>
      <c r="T19" s="12">
        <v>5</v>
      </c>
      <c r="U19" s="12">
        <v>0</v>
      </c>
      <c r="V19" s="12">
        <v>10</v>
      </c>
      <c r="W19" s="12">
        <v>0</v>
      </c>
      <c r="X19" s="12" t="s">
        <v>26</v>
      </c>
      <c r="Y19" s="12">
        <f>AVERAGE(22,20,19,22,14,18,17,18,20,16,24,23,19,20,22,23,22,21,20,24)</f>
        <v>20.2</v>
      </c>
      <c r="Z19" s="13">
        <v>5</v>
      </c>
      <c r="AA19" s="23">
        <v>5</v>
      </c>
      <c r="AD19" s="5"/>
    </row>
    <row r="20" spans="1:30" ht="23" customHeight="1" x14ac:dyDescent="0.2">
      <c r="A20" s="22">
        <v>49</v>
      </c>
      <c r="B20" s="12">
        <v>1</v>
      </c>
      <c r="C20" s="12" t="s">
        <v>22</v>
      </c>
      <c r="D20" s="12">
        <v>0.54</v>
      </c>
      <c r="E20" s="12">
        <v>0.62</v>
      </c>
      <c r="F20" s="23">
        <v>1</v>
      </c>
      <c r="G20" s="12">
        <v>100</v>
      </c>
      <c r="H20" s="12">
        <v>0</v>
      </c>
      <c r="I20" s="12">
        <v>0</v>
      </c>
      <c r="J20" s="22">
        <v>80</v>
      </c>
      <c r="K20" s="12">
        <v>15</v>
      </c>
      <c r="L20" s="12">
        <v>0</v>
      </c>
      <c r="M20" s="12">
        <v>5</v>
      </c>
      <c r="N20" s="12">
        <v>0</v>
      </c>
      <c r="O20" s="12">
        <v>20</v>
      </c>
      <c r="P20" s="12">
        <f>AVERAGE(23,20,27,26,25,24,20,29,21,30,22,26,27,28,26.5,21,21,25,27,24)</f>
        <v>24.625</v>
      </c>
      <c r="Q20" s="13">
        <v>3</v>
      </c>
      <c r="R20" s="23">
        <v>5</v>
      </c>
      <c r="S20" s="12">
        <v>70</v>
      </c>
      <c r="T20" s="12">
        <v>10</v>
      </c>
      <c r="U20" s="12">
        <v>0</v>
      </c>
      <c r="V20" s="12">
        <v>20</v>
      </c>
      <c r="W20" s="12">
        <v>0</v>
      </c>
      <c r="X20" s="12">
        <v>40</v>
      </c>
      <c r="Y20" s="12">
        <f>AVERAGE(23,22,26,26,24,25,23,21,25,27,24,28,20,19,23,27,19,23,24,24)</f>
        <v>23.65</v>
      </c>
      <c r="Z20" s="13">
        <v>4</v>
      </c>
      <c r="AA20" s="23">
        <v>10</v>
      </c>
      <c r="AD20" s="5"/>
    </row>
    <row r="21" spans="1:30" ht="23" customHeight="1" x14ac:dyDescent="0.2">
      <c r="A21" s="22">
        <v>50</v>
      </c>
      <c r="B21" s="12">
        <v>1</v>
      </c>
      <c r="C21" s="12" t="s">
        <v>24</v>
      </c>
      <c r="D21" s="12">
        <v>0.5</v>
      </c>
      <c r="E21" s="12">
        <v>0.3</v>
      </c>
      <c r="F21" s="23">
        <v>1</v>
      </c>
      <c r="G21" s="12">
        <v>100</v>
      </c>
      <c r="H21" s="12">
        <v>0</v>
      </c>
      <c r="I21" s="12">
        <v>0</v>
      </c>
      <c r="J21" s="22">
        <v>95</v>
      </c>
      <c r="K21" s="12">
        <v>2.5</v>
      </c>
      <c r="L21" s="12">
        <v>0</v>
      </c>
      <c r="M21" s="12">
        <v>2.5</v>
      </c>
      <c r="N21" s="12">
        <v>0</v>
      </c>
      <c r="O21" s="12">
        <v>45</v>
      </c>
      <c r="P21" s="12">
        <f>AVERAGE(22,21,20,19,25,24,25,23,22,22,20,23,21,20,21,24,24,22,20,25)</f>
        <v>22.15</v>
      </c>
      <c r="Q21" s="13">
        <v>5</v>
      </c>
      <c r="R21" s="23">
        <v>10</v>
      </c>
      <c r="S21" s="12">
        <v>75</v>
      </c>
      <c r="T21" s="12">
        <v>0</v>
      </c>
      <c r="U21" s="12">
        <v>0</v>
      </c>
      <c r="V21" s="12">
        <v>20</v>
      </c>
      <c r="W21" s="12">
        <v>5</v>
      </c>
      <c r="X21" s="12">
        <v>90</v>
      </c>
      <c r="Y21" s="12">
        <f>AVERAGE(20,21,25,24,24,21,26,20,21,20,24,26,23,25,21,22,23.5,23,24,22)</f>
        <v>22.774999999999999</v>
      </c>
      <c r="Z21" s="13">
        <v>5</v>
      </c>
      <c r="AA21" s="23">
        <v>5</v>
      </c>
      <c r="AD21" s="5"/>
    </row>
    <row r="22" spans="1:30" ht="23" customHeight="1" x14ac:dyDescent="0.2">
      <c r="A22" s="22">
        <v>51</v>
      </c>
      <c r="B22" s="12">
        <v>1</v>
      </c>
      <c r="C22" s="12" t="s">
        <v>16</v>
      </c>
      <c r="D22" s="12">
        <v>0.56000000000000005</v>
      </c>
      <c r="E22" s="12">
        <v>0.3</v>
      </c>
      <c r="F22" s="23">
        <v>1</v>
      </c>
      <c r="G22" s="12">
        <v>100</v>
      </c>
      <c r="H22" s="12">
        <v>0</v>
      </c>
      <c r="I22" s="12">
        <v>0</v>
      </c>
      <c r="J22" s="22">
        <v>70</v>
      </c>
      <c r="K22" s="12">
        <v>20</v>
      </c>
      <c r="L22" s="12">
        <v>0</v>
      </c>
      <c r="M22" s="12">
        <v>10</v>
      </c>
      <c r="N22" s="12">
        <v>0</v>
      </c>
      <c r="O22" s="12">
        <v>45</v>
      </c>
      <c r="P22" s="12">
        <f>AVERAGE(27,25,25,29,30,28,27.5,26,25,26,29,28,28,27,26.5,25,25.5,29,30,27)</f>
        <v>27.175000000000001</v>
      </c>
      <c r="Q22" s="13">
        <v>4</v>
      </c>
      <c r="R22" s="23">
        <v>0</v>
      </c>
      <c r="S22" s="12">
        <v>60</v>
      </c>
      <c r="T22" s="12">
        <v>20</v>
      </c>
      <c r="U22" s="12">
        <v>0</v>
      </c>
      <c r="V22" s="12">
        <v>15</v>
      </c>
      <c r="W22" s="12">
        <v>5</v>
      </c>
      <c r="X22" s="12">
        <v>80</v>
      </c>
      <c r="Y22" s="12">
        <f>AVERAGE(25,30,28,26,29,27,24,25,26,30,28,29,27,25,27,26,29,25.5,26,28)</f>
        <v>27.024999999999999</v>
      </c>
      <c r="Z22" s="13">
        <v>4</v>
      </c>
      <c r="AA22" s="23">
        <v>10</v>
      </c>
      <c r="AD22" s="5"/>
    </row>
    <row r="23" spans="1:30" ht="23" customHeight="1" x14ac:dyDescent="0.2">
      <c r="A23" s="22">
        <v>52</v>
      </c>
      <c r="B23" s="12">
        <v>1</v>
      </c>
      <c r="C23" s="12" t="s">
        <v>22</v>
      </c>
      <c r="D23" s="12">
        <v>0.5</v>
      </c>
      <c r="E23" s="12">
        <v>0.34</v>
      </c>
      <c r="F23" s="23">
        <v>1</v>
      </c>
      <c r="G23" s="12">
        <v>95</v>
      </c>
      <c r="H23" s="12">
        <v>5</v>
      </c>
      <c r="I23" s="12">
        <v>0</v>
      </c>
      <c r="J23" s="22">
        <v>75</v>
      </c>
      <c r="K23" s="12">
        <v>15</v>
      </c>
      <c r="L23" s="12">
        <v>0</v>
      </c>
      <c r="M23" s="12">
        <v>10</v>
      </c>
      <c r="N23" s="12">
        <v>0</v>
      </c>
      <c r="O23" s="12">
        <v>25</v>
      </c>
      <c r="P23" s="12">
        <f>AVERAGE(25,29,27,27,26,26.6,28,27,29,30,29,25,26,27,28,28,29,25,26,26)</f>
        <v>27.18</v>
      </c>
      <c r="Q23" s="13">
        <v>5</v>
      </c>
      <c r="R23" s="23">
        <v>5</v>
      </c>
      <c r="S23" s="12">
        <v>70</v>
      </c>
      <c r="T23" s="12">
        <v>10</v>
      </c>
      <c r="U23" s="12">
        <v>0</v>
      </c>
      <c r="V23" s="12">
        <v>20</v>
      </c>
      <c r="W23" s="12">
        <v>0</v>
      </c>
      <c r="X23" s="12">
        <v>10</v>
      </c>
      <c r="Y23" s="12">
        <f>AVERAGE(27,30,29,27,27,28,29,26,28,29,30,28,27,27,29,28,26,27,29,27)</f>
        <v>27.9</v>
      </c>
      <c r="Z23" s="13">
        <v>5</v>
      </c>
      <c r="AA23" s="23">
        <v>5</v>
      </c>
      <c r="AD23" s="5"/>
    </row>
    <row r="24" spans="1:30" ht="23" customHeight="1" x14ac:dyDescent="0.2">
      <c r="A24" s="22">
        <v>53</v>
      </c>
      <c r="B24" s="12">
        <v>1</v>
      </c>
      <c r="C24" s="12" t="s">
        <v>22</v>
      </c>
      <c r="D24" s="12">
        <v>0.5</v>
      </c>
      <c r="E24" s="12">
        <v>0.28000000000000003</v>
      </c>
      <c r="F24" s="23">
        <v>1</v>
      </c>
      <c r="G24" s="12">
        <v>85</v>
      </c>
      <c r="H24" s="12">
        <v>15</v>
      </c>
      <c r="I24" s="12">
        <v>0</v>
      </c>
      <c r="J24" s="22">
        <v>75</v>
      </c>
      <c r="K24" s="12">
        <v>15</v>
      </c>
      <c r="L24" s="12">
        <v>0</v>
      </c>
      <c r="M24" s="12">
        <v>10</v>
      </c>
      <c r="N24" s="12">
        <v>0</v>
      </c>
      <c r="O24" s="12">
        <v>30</v>
      </c>
      <c r="P24" s="12">
        <f>AVERAGE(21,24,22,16,19,24,18,18,23,25,21,20,20,23,18,16,16,23,25,23)</f>
        <v>20.75</v>
      </c>
      <c r="Q24" s="13">
        <v>4</v>
      </c>
      <c r="R24" s="23">
        <v>4</v>
      </c>
      <c r="S24" s="12">
        <v>50</v>
      </c>
      <c r="T24" s="12">
        <v>30</v>
      </c>
      <c r="U24" s="12">
        <v>0</v>
      </c>
      <c r="V24" s="12">
        <v>20</v>
      </c>
      <c r="W24" s="12">
        <v>0</v>
      </c>
      <c r="X24" s="12" t="s">
        <v>27</v>
      </c>
      <c r="Y24" s="12">
        <f>AVERAGE(19,21,24,22,20,21,20,18,23,22,24,18,20,18,19,22,20,23,24,19)</f>
        <v>20.85</v>
      </c>
      <c r="Z24" s="13">
        <v>5</v>
      </c>
      <c r="AA24" s="23">
        <v>5</v>
      </c>
      <c r="AD24" s="5"/>
    </row>
    <row r="25" spans="1:30" ht="23" customHeight="1" x14ac:dyDescent="0.2">
      <c r="A25" s="22">
        <v>54</v>
      </c>
      <c r="B25" s="12">
        <v>1</v>
      </c>
      <c r="C25" s="12" t="s">
        <v>16</v>
      </c>
      <c r="D25" s="12">
        <v>0.51</v>
      </c>
      <c r="E25" s="12">
        <v>0.37</v>
      </c>
      <c r="F25" s="23">
        <v>1</v>
      </c>
      <c r="G25" s="12">
        <v>100</v>
      </c>
      <c r="H25" s="12">
        <v>0</v>
      </c>
      <c r="I25" s="12">
        <v>0</v>
      </c>
      <c r="J25" s="22">
        <v>85</v>
      </c>
      <c r="K25" s="12">
        <v>7.5</v>
      </c>
      <c r="L25" s="12">
        <v>0</v>
      </c>
      <c r="M25" s="12">
        <v>7.5</v>
      </c>
      <c r="N25" s="12">
        <v>0</v>
      </c>
      <c r="O25" s="12">
        <v>40</v>
      </c>
      <c r="P25" s="12">
        <f>AVERAGE(27,27,28,29,30,29,27,28,23,30,29,29.5,27,28,28,28.5,27,29,30,27)</f>
        <v>28.05</v>
      </c>
      <c r="Q25" s="13">
        <v>5</v>
      </c>
      <c r="R25" s="23">
        <v>0</v>
      </c>
      <c r="S25" s="12">
        <v>85</v>
      </c>
      <c r="T25" s="12">
        <v>5</v>
      </c>
      <c r="U25" s="12">
        <v>5</v>
      </c>
      <c r="V25" s="12">
        <v>5</v>
      </c>
      <c r="W25" s="12">
        <v>0</v>
      </c>
      <c r="X25" s="12" t="s">
        <v>28</v>
      </c>
      <c r="Y25" s="12">
        <f>AVERAGE(26,26,29,27,25,28,24,26,26,29,30,26,25,27,25,24,26,26,28,27)</f>
        <v>26.5</v>
      </c>
      <c r="Z25" s="13">
        <v>5</v>
      </c>
      <c r="AA25" s="23">
        <v>10</v>
      </c>
      <c r="AD25" s="5"/>
    </row>
    <row r="26" spans="1:30" ht="23" customHeight="1" x14ac:dyDescent="0.2">
      <c r="A26" s="22">
        <v>55</v>
      </c>
      <c r="B26" s="12">
        <v>1</v>
      </c>
      <c r="C26" s="12" t="s">
        <v>14</v>
      </c>
      <c r="D26" s="12">
        <v>0.53</v>
      </c>
      <c r="E26" s="12">
        <v>0.3</v>
      </c>
      <c r="F26" s="23">
        <v>0.8</v>
      </c>
      <c r="G26" s="12">
        <v>100</v>
      </c>
      <c r="H26" s="12">
        <v>0</v>
      </c>
      <c r="I26" s="12">
        <v>0</v>
      </c>
      <c r="J26" s="22">
        <v>90</v>
      </c>
      <c r="K26" s="12">
        <v>5</v>
      </c>
      <c r="L26" s="12">
        <v>0</v>
      </c>
      <c r="M26" s="12">
        <v>5</v>
      </c>
      <c r="N26" s="12">
        <v>0</v>
      </c>
      <c r="O26" s="12">
        <v>30</v>
      </c>
      <c r="P26" s="12">
        <f>AVERAGE(24,29,29,27,28,26,28,30,29,28,27,28,30,29,27,27,29,30,27,28)</f>
        <v>28</v>
      </c>
      <c r="Q26" s="13">
        <v>4</v>
      </c>
      <c r="R26" s="23">
        <v>5</v>
      </c>
      <c r="S26" s="12">
        <v>90</v>
      </c>
      <c r="T26" s="12">
        <v>10</v>
      </c>
      <c r="U26" s="12">
        <v>0</v>
      </c>
      <c r="V26" s="12">
        <v>0</v>
      </c>
      <c r="W26" s="12">
        <v>0</v>
      </c>
      <c r="X26" s="12" t="s">
        <v>23</v>
      </c>
      <c r="Y26" s="12">
        <f>AVERAGE(25,21,27,30,23,28,27,26,29,26,28,25,23,30,25,27,28,27,29,30)</f>
        <v>26.7</v>
      </c>
      <c r="Z26" s="13">
        <v>4</v>
      </c>
      <c r="AA26" s="23">
        <v>5</v>
      </c>
      <c r="AD26" s="5"/>
    </row>
    <row r="27" spans="1:30" ht="23" customHeight="1" x14ac:dyDescent="0.2">
      <c r="A27" s="22">
        <v>56</v>
      </c>
      <c r="B27" s="12">
        <v>1</v>
      </c>
      <c r="C27" s="12" t="s">
        <v>22</v>
      </c>
      <c r="D27" s="12">
        <v>0.56000000000000005</v>
      </c>
      <c r="E27" s="12">
        <v>0.36</v>
      </c>
      <c r="F27" s="23">
        <v>0.78</v>
      </c>
      <c r="G27" s="12">
        <v>100</v>
      </c>
      <c r="H27" s="12">
        <v>0</v>
      </c>
      <c r="I27" s="12">
        <v>0</v>
      </c>
      <c r="J27" s="22">
        <v>85</v>
      </c>
      <c r="K27" s="12">
        <v>10</v>
      </c>
      <c r="L27" s="12">
        <v>0</v>
      </c>
      <c r="M27" s="12">
        <v>5</v>
      </c>
      <c r="N27" s="12">
        <v>0</v>
      </c>
      <c r="O27" s="12">
        <v>35</v>
      </c>
      <c r="P27" s="12">
        <f>AVERAGE(26,29,26,27,27,25,25.5,29,28,25,26,27,25,28,30,25,27,26,28,29)</f>
        <v>26.925000000000001</v>
      </c>
      <c r="Q27" s="13">
        <v>4</v>
      </c>
      <c r="R27" s="23">
        <v>5</v>
      </c>
      <c r="S27" s="12">
        <v>85</v>
      </c>
      <c r="T27" s="12">
        <v>15</v>
      </c>
      <c r="U27" s="12">
        <v>0</v>
      </c>
      <c r="V27" s="12">
        <v>5</v>
      </c>
      <c r="W27" s="12">
        <v>0</v>
      </c>
      <c r="X27" s="12" t="s">
        <v>29</v>
      </c>
      <c r="Y27" s="12">
        <f>AVERAGE(24,26,24,28,28,25,22,27,26,25,29,28,29,24,30,27,29,26,28,27)</f>
        <v>26.6</v>
      </c>
      <c r="Z27" s="13">
        <v>5</v>
      </c>
      <c r="AA27" s="23">
        <v>5</v>
      </c>
      <c r="AD27" s="5"/>
    </row>
    <row r="28" spans="1:30" ht="23" customHeight="1" x14ac:dyDescent="0.2">
      <c r="A28" s="22">
        <v>57</v>
      </c>
      <c r="B28" s="12">
        <v>1</v>
      </c>
      <c r="C28" s="12" t="s">
        <v>16</v>
      </c>
      <c r="D28" s="12">
        <v>0.53</v>
      </c>
      <c r="E28" s="12">
        <v>0.2</v>
      </c>
      <c r="F28" s="23">
        <v>1</v>
      </c>
      <c r="G28" s="12">
        <v>100</v>
      </c>
      <c r="H28" s="12">
        <v>0</v>
      </c>
      <c r="I28" s="12">
        <v>0</v>
      </c>
      <c r="J28" s="22">
        <v>85</v>
      </c>
      <c r="K28" s="12">
        <v>10</v>
      </c>
      <c r="L28" s="12">
        <v>0</v>
      </c>
      <c r="M28" s="12">
        <v>5</v>
      </c>
      <c r="N28" s="12">
        <v>0</v>
      </c>
      <c r="O28" s="12">
        <v>40</v>
      </c>
      <c r="P28" s="12">
        <f>AVERAGE(29,25,27,27,26,28,27,30,25,26,27,26,28,25,27,29,28,28,26,25)</f>
        <v>26.95</v>
      </c>
      <c r="Q28" s="13">
        <v>5</v>
      </c>
      <c r="R28" s="23">
        <v>0</v>
      </c>
      <c r="S28" s="12">
        <v>100</v>
      </c>
      <c r="T28" s="12">
        <v>0</v>
      </c>
      <c r="U28" s="12">
        <v>0</v>
      </c>
      <c r="V28" s="12">
        <v>0</v>
      </c>
      <c r="W28" s="12">
        <v>0</v>
      </c>
      <c r="X28" s="12" t="s">
        <v>30</v>
      </c>
      <c r="Y28" s="12">
        <f>AVERAGE(25,26,30,28,27,29,26,26,23,29,26,28,25,27,27,25,26,28,28,27.5)</f>
        <v>26.824999999999999</v>
      </c>
      <c r="Z28" s="13">
        <v>5</v>
      </c>
      <c r="AA28" s="23">
        <v>10</v>
      </c>
      <c r="AD28" s="5"/>
    </row>
    <row r="29" spans="1:30" ht="23" customHeight="1" x14ac:dyDescent="0.2">
      <c r="A29" s="22">
        <v>58</v>
      </c>
      <c r="B29" s="12">
        <v>1</v>
      </c>
      <c r="C29" s="12" t="s">
        <v>24</v>
      </c>
      <c r="D29" s="12">
        <v>0.49</v>
      </c>
      <c r="E29" s="12">
        <v>0.3</v>
      </c>
      <c r="F29" s="23">
        <v>1</v>
      </c>
      <c r="G29" s="12">
        <v>100</v>
      </c>
      <c r="H29" s="12">
        <v>0</v>
      </c>
      <c r="I29" s="12">
        <v>0</v>
      </c>
      <c r="J29" s="22">
        <v>60</v>
      </c>
      <c r="K29" s="12">
        <v>10</v>
      </c>
      <c r="L29" s="12">
        <v>30</v>
      </c>
      <c r="M29" s="12">
        <v>0</v>
      </c>
      <c r="N29" s="12">
        <v>0</v>
      </c>
      <c r="O29" s="12">
        <v>20</v>
      </c>
      <c r="P29" s="12">
        <f>AVERAGE(26,23,25,24.5,25.5,26,21,26,24,22,25.5,24.5,25,25,25.5,24,26,25,25,24.5)</f>
        <v>24.65</v>
      </c>
      <c r="Q29" s="13">
        <v>4</v>
      </c>
      <c r="R29" s="23">
        <v>5</v>
      </c>
      <c r="S29" s="12">
        <v>70</v>
      </c>
      <c r="T29" s="12">
        <v>0</v>
      </c>
      <c r="U29" s="12">
        <v>15</v>
      </c>
      <c r="V29" s="12">
        <v>15</v>
      </c>
      <c r="W29" s="12">
        <v>0</v>
      </c>
      <c r="X29" s="12">
        <v>20</v>
      </c>
      <c r="Y29" s="12">
        <f>AVERAGE(18,20,24,27,23,22,23,24,21,22,26,24,25,25,23,26,24,22,24,23)</f>
        <v>23.3</v>
      </c>
      <c r="Z29" s="13">
        <v>4</v>
      </c>
      <c r="AA29" s="23">
        <v>5</v>
      </c>
      <c r="AD29" s="5"/>
    </row>
    <row r="30" spans="1:30" ht="23" customHeight="1" x14ac:dyDescent="0.2">
      <c r="A30" s="22">
        <v>59</v>
      </c>
      <c r="B30" s="12">
        <v>1</v>
      </c>
      <c r="C30" s="12" t="s">
        <v>16</v>
      </c>
      <c r="D30" s="12">
        <v>0.49</v>
      </c>
      <c r="E30" s="12">
        <v>0.6</v>
      </c>
      <c r="F30" s="23">
        <v>1</v>
      </c>
      <c r="G30" s="12">
        <v>40</v>
      </c>
      <c r="H30" s="12">
        <v>60</v>
      </c>
      <c r="I30" s="12">
        <v>0</v>
      </c>
      <c r="J30" s="22">
        <v>85</v>
      </c>
      <c r="K30" s="12">
        <v>5</v>
      </c>
      <c r="L30" s="12">
        <v>0</v>
      </c>
      <c r="M30" s="12">
        <v>5</v>
      </c>
      <c r="N30" s="12">
        <v>5</v>
      </c>
      <c r="O30" s="12">
        <v>50</v>
      </c>
      <c r="P30" s="12">
        <f>AVERAGE(19,24,17,15,23,25,22,17,18,16,15,19,20,21,20,24,18,25,17,22)</f>
        <v>19.850000000000001</v>
      </c>
      <c r="Q30" s="13">
        <v>4</v>
      </c>
      <c r="R30" s="23">
        <v>5</v>
      </c>
      <c r="S30" s="12">
        <v>80</v>
      </c>
      <c r="T30" s="12">
        <v>0</v>
      </c>
      <c r="U30" s="12">
        <v>0</v>
      </c>
      <c r="V30" s="12">
        <v>20</v>
      </c>
      <c r="W30" s="12">
        <v>0</v>
      </c>
      <c r="X30" s="12" t="s">
        <v>31</v>
      </c>
      <c r="Y30" s="12">
        <f>AVERAGE(24,22,25,18,26,20,21,22,18,24,19,20.5,18,21,20,22,18,20,19,20)</f>
        <v>20.875</v>
      </c>
      <c r="Z30" s="13">
        <v>5</v>
      </c>
      <c r="AA30" s="23">
        <v>5</v>
      </c>
      <c r="AD30" s="5"/>
    </row>
    <row r="31" spans="1:30" ht="23" customHeight="1" x14ac:dyDescent="0.2">
      <c r="A31" s="22">
        <v>60</v>
      </c>
      <c r="B31" s="12">
        <v>1</v>
      </c>
      <c r="C31" s="12" t="s">
        <v>24</v>
      </c>
      <c r="D31" s="12">
        <v>0.54</v>
      </c>
      <c r="E31" s="12">
        <v>0.62</v>
      </c>
      <c r="F31" s="23">
        <v>1</v>
      </c>
      <c r="G31" s="12">
        <v>40</v>
      </c>
      <c r="H31" s="12">
        <v>60</v>
      </c>
      <c r="I31" s="12">
        <v>0</v>
      </c>
      <c r="J31" s="22">
        <v>75</v>
      </c>
      <c r="K31" s="12">
        <v>15</v>
      </c>
      <c r="L31" s="12">
        <v>0</v>
      </c>
      <c r="M31" s="12">
        <v>5</v>
      </c>
      <c r="N31" s="12">
        <v>5</v>
      </c>
      <c r="O31" s="12">
        <v>40</v>
      </c>
      <c r="P31" s="12">
        <f>AVERAGE(16,19,20,20,21,25,23,18,21,25,16,17,23,20,18,15,19,20,24,22)</f>
        <v>20.100000000000001</v>
      </c>
      <c r="Q31" s="13">
        <v>5</v>
      </c>
      <c r="R31" s="23">
        <v>5</v>
      </c>
      <c r="S31" s="12">
        <v>70</v>
      </c>
      <c r="T31" s="12">
        <v>10</v>
      </c>
      <c r="U31" s="12">
        <v>0</v>
      </c>
      <c r="V31" s="12">
        <v>10</v>
      </c>
      <c r="W31" s="12">
        <v>10</v>
      </c>
      <c r="X31" s="12" t="s">
        <v>31</v>
      </c>
      <c r="Y31" s="12">
        <f>AVERAGE(18,23,25,22,20,19,21,23,20,17,19,22,24,23,21.5,17,19,17,21,20)</f>
        <v>20.574999999999999</v>
      </c>
      <c r="Z31" s="13">
        <v>5</v>
      </c>
      <c r="AA31" s="23">
        <v>10</v>
      </c>
      <c r="AD31" s="5"/>
    </row>
    <row r="32" spans="1:30" ht="23" customHeight="1" x14ac:dyDescent="0.2">
      <c r="A32" s="22">
        <v>61</v>
      </c>
      <c r="B32" s="12">
        <v>1</v>
      </c>
      <c r="C32" s="12" t="s">
        <v>22</v>
      </c>
      <c r="D32" s="12">
        <v>0.6</v>
      </c>
      <c r="E32" s="12">
        <v>0.52</v>
      </c>
      <c r="F32" s="23">
        <v>1</v>
      </c>
      <c r="G32" s="12">
        <v>80</v>
      </c>
      <c r="H32" s="12">
        <v>20</v>
      </c>
      <c r="I32" s="12">
        <v>0</v>
      </c>
      <c r="J32" s="22">
        <v>70</v>
      </c>
      <c r="K32" s="12">
        <v>20</v>
      </c>
      <c r="L32" s="12">
        <v>0</v>
      </c>
      <c r="M32" s="12">
        <v>5</v>
      </c>
      <c r="N32" s="12">
        <v>5</v>
      </c>
      <c r="O32" s="12">
        <v>30</v>
      </c>
      <c r="P32" s="12">
        <f>AVERAGE(19,17,20,19,15,18,18,16,16.5,19,17,19,20,19,15,16,18,17.5,15,19)</f>
        <v>17.649999999999999</v>
      </c>
      <c r="Q32" s="13">
        <v>4</v>
      </c>
      <c r="R32" s="23">
        <v>5</v>
      </c>
      <c r="S32" s="12">
        <v>70</v>
      </c>
      <c r="T32" s="12">
        <v>10</v>
      </c>
      <c r="U32" s="12">
        <v>0</v>
      </c>
      <c r="V32" s="12">
        <v>20</v>
      </c>
      <c r="W32" s="12">
        <v>0</v>
      </c>
      <c r="X32" s="12">
        <v>40</v>
      </c>
      <c r="Y32" s="12">
        <f>AVERAGE(16,21,24,22,20,18,23,22,23,17,19,17,20,21,18,16,19,20,22,20)</f>
        <v>19.899999999999999</v>
      </c>
      <c r="Z32" s="13">
        <v>5</v>
      </c>
      <c r="AA32" s="23">
        <v>10</v>
      </c>
      <c r="AD32" s="5"/>
    </row>
    <row r="33" spans="1:30" ht="23" customHeight="1" x14ac:dyDescent="0.2">
      <c r="A33" s="22">
        <v>62</v>
      </c>
      <c r="B33" s="12">
        <v>1</v>
      </c>
      <c r="C33" s="12" t="s">
        <v>16</v>
      </c>
      <c r="D33" s="12">
        <v>0.49</v>
      </c>
      <c r="E33" s="12">
        <v>0.55000000000000004</v>
      </c>
      <c r="F33" s="23">
        <v>1</v>
      </c>
      <c r="G33" s="12">
        <v>100</v>
      </c>
      <c r="H33" s="12">
        <v>0</v>
      </c>
      <c r="I33" s="12">
        <v>0</v>
      </c>
      <c r="J33" s="22">
        <v>85</v>
      </c>
      <c r="K33" s="12">
        <v>10</v>
      </c>
      <c r="L33" s="12">
        <v>0</v>
      </c>
      <c r="M33" s="12">
        <v>0</v>
      </c>
      <c r="N33" s="12">
        <v>5</v>
      </c>
      <c r="O33" s="12">
        <v>45</v>
      </c>
      <c r="P33" s="12">
        <f>AVERAGE(24,23,27,21,25,26,25,22,20,27,26,27,21,22,24,26,21,20,25,23)</f>
        <v>23.75</v>
      </c>
      <c r="Q33" s="13">
        <v>4</v>
      </c>
      <c r="R33" s="23">
        <v>0</v>
      </c>
      <c r="S33" s="12">
        <v>85</v>
      </c>
      <c r="T33" s="12">
        <v>0</v>
      </c>
      <c r="U33" s="12">
        <v>0</v>
      </c>
      <c r="V33" s="12">
        <v>10</v>
      </c>
      <c r="W33" s="12">
        <v>5</v>
      </c>
      <c r="X33" s="12">
        <v>60</v>
      </c>
      <c r="Y33" s="12">
        <f>AVERAGE(20,26,22,24,20,23,21,20,21,25,26,24,23,22.5,18,25,21,26,19,19.5)</f>
        <v>22.3</v>
      </c>
      <c r="Z33" s="13">
        <v>5</v>
      </c>
      <c r="AA33" s="23">
        <v>7</v>
      </c>
      <c r="AD33" s="5"/>
    </row>
    <row r="34" spans="1:30" ht="23" customHeight="1" x14ac:dyDescent="0.2">
      <c r="A34" s="22">
        <v>63</v>
      </c>
      <c r="B34" s="12">
        <v>1</v>
      </c>
      <c r="C34" s="12" t="s">
        <v>24</v>
      </c>
      <c r="D34" s="12">
        <v>0.51</v>
      </c>
      <c r="E34" s="12">
        <v>0.67</v>
      </c>
      <c r="F34" s="23">
        <v>1</v>
      </c>
      <c r="G34" s="12">
        <v>100</v>
      </c>
      <c r="H34" s="12">
        <v>0</v>
      </c>
      <c r="I34" s="12">
        <v>0</v>
      </c>
      <c r="J34" s="22">
        <v>80</v>
      </c>
      <c r="K34" s="12">
        <v>10</v>
      </c>
      <c r="L34" s="12">
        <v>0</v>
      </c>
      <c r="M34" s="12">
        <v>10</v>
      </c>
      <c r="N34" s="12">
        <v>0</v>
      </c>
      <c r="O34" s="12">
        <v>55</v>
      </c>
      <c r="P34" s="12">
        <f>AVERAGE(24,16,18,18,15,22,21,25,23,20,19,18,16,19,22,25,23,21,20,17)</f>
        <v>20.100000000000001</v>
      </c>
      <c r="Q34" s="13">
        <v>3</v>
      </c>
      <c r="R34" s="23">
        <v>10</v>
      </c>
      <c r="S34" s="12">
        <v>75</v>
      </c>
      <c r="T34" s="12">
        <v>5</v>
      </c>
      <c r="U34" s="12">
        <v>0</v>
      </c>
      <c r="V34" s="12">
        <v>10</v>
      </c>
      <c r="W34" s="12">
        <v>10</v>
      </c>
      <c r="X34" s="12">
        <v>80</v>
      </c>
      <c r="Y34" s="12">
        <f>AVERAGE(21,18,22,17,23,22,24,19,22,21,18,17,23,25,22,25,18,16,25,23)</f>
        <v>21.05</v>
      </c>
      <c r="Z34" s="13">
        <v>4</v>
      </c>
      <c r="AA34" s="23">
        <v>12</v>
      </c>
      <c r="AD34" s="5"/>
    </row>
    <row r="35" spans="1:30" ht="23" customHeight="1" x14ac:dyDescent="0.2">
      <c r="A35" s="22">
        <v>64</v>
      </c>
      <c r="B35" s="12">
        <v>1</v>
      </c>
      <c r="C35" s="12" t="s">
        <v>22</v>
      </c>
      <c r="D35" s="12">
        <v>0.45</v>
      </c>
      <c r="E35" s="12">
        <v>0.32</v>
      </c>
      <c r="F35" s="23">
        <v>1</v>
      </c>
      <c r="G35" s="12">
        <v>100</v>
      </c>
      <c r="H35" s="12">
        <v>0</v>
      </c>
      <c r="I35" s="12">
        <v>0</v>
      </c>
      <c r="J35" s="22">
        <v>90</v>
      </c>
      <c r="K35" s="12">
        <v>5</v>
      </c>
      <c r="L35" s="12">
        <v>0</v>
      </c>
      <c r="M35" s="12">
        <v>2.5</v>
      </c>
      <c r="N35" s="12">
        <v>2.5</v>
      </c>
      <c r="O35" s="12">
        <v>20</v>
      </c>
      <c r="P35" s="12">
        <f>AVERAGE(27,26,27,25,25,29,28,27,28.5,30,29,26,27,28,28,25,27,29,25,26.5)</f>
        <v>27.15</v>
      </c>
      <c r="Q35" s="13">
        <v>4</v>
      </c>
      <c r="R35" s="23">
        <v>5</v>
      </c>
      <c r="S35" s="12">
        <v>70</v>
      </c>
      <c r="T35" s="12">
        <v>20</v>
      </c>
      <c r="U35" s="12">
        <v>0</v>
      </c>
      <c r="V35" s="12">
        <v>10</v>
      </c>
      <c r="W35" s="12">
        <v>0</v>
      </c>
      <c r="X35" s="12" t="s">
        <v>32</v>
      </c>
      <c r="Y35" s="12">
        <f>AVERAGE(26,29,29,30, 26,25,27,28,27,28,26,25.5,24,27,26,28,27,30, 27,29)</f>
        <v>27.225000000000001</v>
      </c>
      <c r="Z35" s="13">
        <v>6</v>
      </c>
      <c r="AA35" s="23">
        <v>8</v>
      </c>
      <c r="AD35" s="5"/>
    </row>
    <row r="36" spans="1:30" ht="23" customHeight="1" x14ac:dyDescent="0.2">
      <c r="A36" s="24">
        <v>65</v>
      </c>
      <c r="B36" s="10">
        <v>2</v>
      </c>
      <c r="C36" s="10" t="s">
        <v>14</v>
      </c>
      <c r="D36" s="10">
        <v>0.13</v>
      </c>
      <c r="E36" s="10">
        <v>0.59</v>
      </c>
      <c r="F36" s="11">
        <v>1</v>
      </c>
      <c r="G36" s="10">
        <v>100</v>
      </c>
      <c r="H36" s="10">
        <v>0</v>
      </c>
      <c r="I36" s="10">
        <v>0</v>
      </c>
      <c r="J36" s="24">
        <v>90</v>
      </c>
      <c r="K36" s="10">
        <v>10</v>
      </c>
      <c r="L36" s="10">
        <v>0</v>
      </c>
      <c r="M36" s="10">
        <v>0</v>
      </c>
      <c r="N36" s="10">
        <v>0</v>
      </c>
      <c r="O36" s="10">
        <v>5</v>
      </c>
      <c r="P36" s="10">
        <f>AVERAGE(11,10,16,8,15,13,9,8,9,10,11,13,12,9,8,7,14,12,10,9)</f>
        <v>10.7</v>
      </c>
      <c r="Q36" s="14">
        <v>3</v>
      </c>
      <c r="R36" s="11">
        <v>0</v>
      </c>
      <c r="S36" s="10">
        <v>90</v>
      </c>
      <c r="T36" s="10">
        <v>10</v>
      </c>
      <c r="U36" s="10">
        <v>0</v>
      </c>
      <c r="V36" s="10">
        <v>0</v>
      </c>
      <c r="W36" s="10">
        <v>0</v>
      </c>
      <c r="X36" s="10">
        <v>10</v>
      </c>
      <c r="Y36" s="10">
        <f>AVERAGE(13,10,9,11,13,14,12,11,10,12,14,10,9,13,12,15,10,10,11,10)</f>
        <v>11.45</v>
      </c>
      <c r="Z36" s="14">
        <v>4</v>
      </c>
      <c r="AA36" s="11">
        <v>0</v>
      </c>
    </row>
    <row r="37" spans="1:30" ht="23" customHeight="1" x14ac:dyDescent="0.2">
      <c r="A37" s="22">
        <v>66</v>
      </c>
      <c r="B37" s="12">
        <v>2</v>
      </c>
      <c r="C37" s="12" t="s">
        <v>14</v>
      </c>
      <c r="D37" s="12">
        <v>0.17</v>
      </c>
      <c r="E37" s="12">
        <v>0.46</v>
      </c>
      <c r="F37" s="23">
        <v>0.53</v>
      </c>
      <c r="G37" s="12">
        <v>100</v>
      </c>
      <c r="H37" s="12">
        <v>0</v>
      </c>
      <c r="I37" s="12">
        <v>0</v>
      </c>
      <c r="J37" s="22">
        <v>75</v>
      </c>
      <c r="K37" s="12">
        <v>25</v>
      </c>
      <c r="L37" s="12">
        <v>0</v>
      </c>
      <c r="M37" s="12">
        <v>0</v>
      </c>
      <c r="N37" s="12">
        <v>0</v>
      </c>
      <c r="O37" s="12">
        <v>20</v>
      </c>
      <c r="P37" s="12">
        <f>AVERAGE(10,6,8,11,9,8,9,12,7,8,9,14,10,15,12,8,10,11,13,9)</f>
        <v>9.9499999999999993</v>
      </c>
      <c r="Q37" s="13">
        <v>3</v>
      </c>
      <c r="R37" s="23">
        <v>0</v>
      </c>
      <c r="S37" s="12">
        <v>75</v>
      </c>
      <c r="T37" s="12">
        <v>25</v>
      </c>
      <c r="U37" s="12">
        <v>0</v>
      </c>
      <c r="V37" s="12">
        <v>0</v>
      </c>
      <c r="W37" s="12">
        <v>0</v>
      </c>
      <c r="X37" s="12">
        <v>20</v>
      </c>
      <c r="Y37" s="12">
        <f>AVERAGE(12,11,10,8,14,13,16,13,9,12,8,9,14,16,9,11,13,13,15,12)</f>
        <v>11.9</v>
      </c>
      <c r="Z37" s="13">
        <v>3</v>
      </c>
      <c r="AA37" s="23">
        <v>0</v>
      </c>
    </row>
    <row r="38" spans="1:30" ht="23" customHeight="1" x14ac:dyDescent="0.2">
      <c r="A38" s="22">
        <v>67</v>
      </c>
      <c r="B38" s="12">
        <v>2</v>
      </c>
      <c r="C38" s="12" t="s">
        <v>14</v>
      </c>
      <c r="D38" s="12">
        <v>0.12</v>
      </c>
      <c r="E38" s="12">
        <v>0.56000000000000005</v>
      </c>
      <c r="F38" s="23">
        <v>1</v>
      </c>
      <c r="G38" s="12">
        <v>100</v>
      </c>
      <c r="H38" s="12">
        <v>0</v>
      </c>
      <c r="I38" s="12">
        <v>0</v>
      </c>
      <c r="J38" s="22">
        <v>97</v>
      </c>
      <c r="K38" s="12">
        <v>3</v>
      </c>
      <c r="L38" s="12">
        <v>0</v>
      </c>
      <c r="M38" s="12">
        <v>0</v>
      </c>
      <c r="N38" s="12">
        <v>0</v>
      </c>
      <c r="O38" s="12">
        <v>20</v>
      </c>
      <c r="P38" s="12">
        <f>AVERAGE(10,9,8,12,10.5,13,9.5,11,9,14,13,11,10,12,13,12.5,11,13,15,13)</f>
        <v>11.475</v>
      </c>
      <c r="Q38" s="13">
        <v>3</v>
      </c>
      <c r="R38" s="23">
        <v>0</v>
      </c>
      <c r="S38" s="12">
        <v>80</v>
      </c>
      <c r="T38" s="12">
        <v>20</v>
      </c>
      <c r="U38" s="12">
        <v>0</v>
      </c>
      <c r="V38" s="12">
        <v>0</v>
      </c>
      <c r="W38" s="12">
        <v>0</v>
      </c>
      <c r="X38" s="12">
        <v>25</v>
      </c>
      <c r="Y38" s="12">
        <f>AVERAGE(13,17,11,11,16,15,10,9,9,12,16,15,14,14,12,9,10,13,14,16)</f>
        <v>12.8</v>
      </c>
      <c r="Z38" s="13">
        <v>3</v>
      </c>
      <c r="AA38" s="23">
        <v>0</v>
      </c>
    </row>
    <row r="39" spans="1:30" ht="23" customHeight="1" x14ac:dyDescent="0.2">
      <c r="A39" s="22">
        <v>68</v>
      </c>
      <c r="B39" s="12">
        <v>2</v>
      </c>
      <c r="C39" s="12" t="s">
        <v>14</v>
      </c>
      <c r="D39" s="12">
        <v>0.16</v>
      </c>
      <c r="E39" s="12">
        <v>0.56999999999999995</v>
      </c>
      <c r="F39" s="23">
        <v>1</v>
      </c>
      <c r="G39" s="12">
        <v>100</v>
      </c>
      <c r="H39" s="12">
        <v>0</v>
      </c>
      <c r="I39" s="12">
        <v>0</v>
      </c>
      <c r="J39" s="22">
        <v>75</v>
      </c>
      <c r="K39" s="12">
        <v>25</v>
      </c>
      <c r="L39" s="12">
        <v>0</v>
      </c>
      <c r="M39" s="12">
        <v>0</v>
      </c>
      <c r="N39" s="12">
        <v>0</v>
      </c>
      <c r="O39" s="12">
        <v>5</v>
      </c>
      <c r="P39" s="12">
        <f>AVERAGE(10,15,9,12,13,8,7,11,9,15,9,18,10,13,7,9,12,14,12,13)</f>
        <v>11.3</v>
      </c>
      <c r="Q39" s="13">
        <v>4</v>
      </c>
      <c r="R39" s="23">
        <v>0</v>
      </c>
      <c r="S39" s="12">
        <v>65</v>
      </c>
      <c r="T39" s="12">
        <v>35</v>
      </c>
      <c r="U39" s="12">
        <v>0</v>
      </c>
      <c r="V39" s="12">
        <v>0</v>
      </c>
      <c r="W39" s="12">
        <v>0</v>
      </c>
      <c r="X39" s="12">
        <v>10</v>
      </c>
      <c r="Y39" s="12">
        <f>AVERAGE(12,15,14,14,10,11,10,12,12,17,16,13,13,11,10,11,14,15,12,12)</f>
        <v>12.7</v>
      </c>
      <c r="Z39" s="13">
        <v>4</v>
      </c>
      <c r="AA39" s="23">
        <v>0</v>
      </c>
    </row>
    <row r="40" spans="1:30" ht="23" customHeight="1" x14ac:dyDescent="0.2">
      <c r="A40" s="22">
        <v>69</v>
      </c>
      <c r="B40" s="12">
        <v>2</v>
      </c>
      <c r="C40" s="12" t="s">
        <v>14</v>
      </c>
      <c r="D40" s="12">
        <v>0.13</v>
      </c>
      <c r="E40" s="12">
        <v>0.46</v>
      </c>
      <c r="F40" s="23">
        <v>0.85</v>
      </c>
      <c r="G40" s="12">
        <v>100</v>
      </c>
      <c r="H40" s="12">
        <v>0</v>
      </c>
      <c r="I40" s="12">
        <v>0</v>
      </c>
      <c r="J40" s="22">
        <v>70</v>
      </c>
      <c r="K40" s="12">
        <v>30</v>
      </c>
      <c r="L40" s="12">
        <v>0</v>
      </c>
      <c r="M40" s="12">
        <v>0</v>
      </c>
      <c r="N40" s="12">
        <v>0</v>
      </c>
      <c r="O40" s="12">
        <v>10</v>
      </c>
      <c r="P40" s="12">
        <f>AVERAGE(13,14,17,8,10,9,8,7,13,12.5,15,14,13.5,16,17,14,9,10,10.5,8)</f>
        <v>11.925000000000001</v>
      </c>
      <c r="Q40" s="13">
        <v>4</v>
      </c>
      <c r="R40" s="23">
        <v>0</v>
      </c>
      <c r="S40" s="12">
        <v>65</v>
      </c>
      <c r="T40" s="12">
        <v>35</v>
      </c>
      <c r="U40" s="12">
        <v>0</v>
      </c>
      <c r="V40" s="12">
        <v>0</v>
      </c>
      <c r="W40" s="12">
        <v>0</v>
      </c>
      <c r="X40" s="12">
        <v>5</v>
      </c>
      <c r="Y40" s="12">
        <f>AVERAGE(11,12,11,15,9,10,9,14,16,14.5,13,13,12,15,16,16,9,10,12,14)</f>
        <v>12.574999999999999</v>
      </c>
      <c r="Z40" s="13">
        <v>5</v>
      </c>
      <c r="AA40" s="23">
        <v>0</v>
      </c>
    </row>
    <row r="41" spans="1:30" ht="23" customHeight="1" x14ac:dyDescent="0.2">
      <c r="A41" s="22">
        <v>70</v>
      </c>
      <c r="B41" s="12">
        <v>2</v>
      </c>
      <c r="C41" s="12" t="s">
        <v>2</v>
      </c>
      <c r="D41" s="12">
        <v>0.14000000000000001</v>
      </c>
      <c r="E41" s="12">
        <v>0.6</v>
      </c>
      <c r="F41" s="23">
        <v>1</v>
      </c>
      <c r="G41" s="12">
        <v>100</v>
      </c>
      <c r="H41" s="12">
        <v>0</v>
      </c>
      <c r="I41" s="12">
        <v>0</v>
      </c>
      <c r="J41" s="22">
        <v>80</v>
      </c>
      <c r="K41" s="12">
        <v>20</v>
      </c>
      <c r="L41" s="12">
        <v>0</v>
      </c>
      <c r="M41" s="12">
        <v>0</v>
      </c>
      <c r="N41" s="12">
        <v>0</v>
      </c>
      <c r="O41" s="12">
        <v>15</v>
      </c>
      <c r="P41" s="12">
        <f>AVERAGE(12.5,16,14,13,10,9.5,13,15,8,12,14,13.5,10,11.5,12,12,9.5,15,13,11)</f>
        <v>12.225</v>
      </c>
      <c r="Q41" s="13">
        <v>3</v>
      </c>
      <c r="R41" s="23">
        <v>0</v>
      </c>
      <c r="S41" s="12">
        <v>80</v>
      </c>
      <c r="T41" s="12">
        <v>20</v>
      </c>
      <c r="U41" s="12">
        <v>0</v>
      </c>
      <c r="V41" s="12">
        <v>0</v>
      </c>
      <c r="W41" s="12">
        <v>0</v>
      </c>
      <c r="X41" s="12">
        <v>20</v>
      </c>
      <c r="Y41" s="12">
        <f>AVERAGE(14,14,12,11,10,10,13,13.5,15,11,12,15,12,10,12,13.5,15,12,10,12)</f>
        <v>12.35</v>
      </c>
      <c r="Z41" s="13">
        <v>3</v>
      </c>
      <c r="AA41" s="23">
        <v>0</v>
      </c>
    </row>
    <row r="42" spans="1:30" ht="23" customHeight="1" x14ac:dyDescent="0.2">
      <c r="A42" s="22">
        <v>71</v>
      </c>
      <c r="B42" s="12">
        <v>2</v>
      </c>
      <c r="C42" s="12" t="s">
        <v>2</v>
      </c>
      <c r="D42" s="12">
        <v>0.13</v>
      </c>
      <c r="E42" s="12">
        <v>0.55000000000000004</v>
      </c>
      <c r="F42" s="23">
        <v>0.66</v>
      </c>
      <c r="G42" s="12">
        <v>100</v>
      </c>
      <c r="H42" s="12">
        <v>0</v>
      </c>
      <c r="I42" s="12">
        <v>0</v>
      </c>
      <c r="J42" s="22">
        <v>95</v>
      </c>
      <c r="K42" s="12">
        <v>5</v>
      </c>
      <c r="L42" s="12">
        <v>0</v>
      </c>
      <c r="M42" s="12">
        <v>0</v>
      </c>
      <c r="N42" s="12">
        <v>0</v>
      </c>
      <c r="O42" s="12">
        <v>15</v>
      </c>
      <c r="P42" s="12">
        <f>AVERAGE(15,11,8,10,14,13,12,11,10,10,12.5,14,15,14.5,13,15,9,10,12,10,12)</f>
        <v>11.952380952380953</v>
      </c>
      <c r="Q42" s="13">
        <v>4</v>
      </c>
      <c r="R42" s="23">
        <v>0</v>
      </c>
      <c r="S42" s="12">
        <v>90</v>
      </c>
      <c r="T42" s="12">
        <v>10</v>
      </c>
      <c r="U42" s="12">
        <v>0</v>
      </c>
      <c r="V42" s="12">
        <v>0</v>
      </c>
      <c r="W42" s="12">
        <v>0</v>
      </c>
      <c r="X42" s="12">
        <v>15</v>
      </c>
      <c r="Y42" s="12">
        <f>AVERAGE(13,12,12,10,15,14,11,11,10,10,13,13,15,14,14,12,10,11,12,12.5)</f>
        <v>12.225</v>
      </c>
      <c r="Z42" s="13">
        <v>5</v>
      </c>
      <c r="AA42" s="23">
        <v>0</v>
      </c>
    </row>
    <row r="43" spans="1:30" ht="23" customHeight="1" x14ac:dyDescent="0.2">
      <c r="A43" s="22">
        <v>72</v>
      </c>
      <c r="B43" s="12">
        <v>2</v>
      </c>
      <c r="C43" s="12" t="s">
        <v>2</v>
      </c>
      <c r="D43" s="12">
        <v>0.19</v>
      </c>
      <c r="E43" s="12">
        <v>0.56000000000000005</v>
      </c>
      <c r="F43" s="23">
        <v>1</v>
      </c>
      <c r="G43" s="12">
        <v>100</v>
      </c>
      <c r="H43" s="12">
        <v>0</v>
      </c>
      <c r="I43" s="12">
        <v>0</v>
      </c>
      <c r="J43" s="22">
        <v>75</v>
      </c>
      <c r="K43" s="12">
        <v>25</v>
      </c>
      <c r="L43" s="12">
        <v>0</v>
      </c>
      <c r="M43" s="12">
        <v>0</v>
      </c>
      <c r="N43" s="12">
        <v>0</v>
      </c>
      <c r="O43" s="12">
        <v>15</v>
      </c>
      <c r="P43" s="12">
        <f>AVERAGE(14,13,10,8,10,9,8.5,13,10,12,15,10,13,11,13,14,7,9,9,14)</f>
        <v>11.125</v>
      </c>
      <c r="Q43" s="13">
        <v>3</v>
      </c>
      <c r="R43" s="23">
        <v>0</v>
      </c>
      <c r="S43" s="12">
        <v>85</v>
      </c>
      <c r="T43" s="12">
        <v>15</v>
      </c>
      <c r="U43" s="12">
        <v>0</v>
      </c>
      <c r="V43" s="12">
        <v>0</v>
      </c>
      <c r="W43" s="12">
        <v>0</v>
      </c>
      <c r="X43" s="12">
        <v>15</v>
      </c>
      <c r="Y43" s="12">
        <f>AVERAGE(15,13,13,11,17,12,14,14,8,11,8,9,17,16,12,15,11,13,13,14.5)</f>
        <v>12.824999999999999</v>
      </c>
      <c r="Z43" s="13">
        <v>4</v>
      </c>
      <c r="AA43" s="23">
        <v>0</v>
      </c>
    </row>
    <row r="44" spans="1:30" ht="23" customHeight="1" x14ac:dyDescent="0.2">
      <c r="A44" s="22">
        <v>73</v>
      </c>
      <c r="B44" s="12">
        <v>2</v>
      </c>
      <c r="C44" s="12" t="s">
        <v>2</v>
      </c>
      <c r="D44" s="12">
        <v>0.17</v>
      </c>
      <c r="E44" s="12">
        <v>0.53</v>
      </c>
      <c r="F44" s="23">
        <v>1</v>
      </c>
      <c r="G44" s="12">
        <v>100</v>
      </c>
      <c r="H44" s="12">
        <v>0</v>
      </c>
      <c r="I44" s="12">
        <v>0</v>
      </c>
      <c r="J44" s="22">
        <v>80</v>
      </c>
      <c r="K44" s="12">
        <v>20</v>
      </c>
      <c r="L44" s="12">
        <v>0</v>
      </c>
      <c r="M44" s="12">
        <v>0</v>
      </c>
      <c r="N44" s="12">
        <v>0</v>
      </c>
      <c r="O44" s="12">
        <v>15</v>
      </c>
      <c r="P44" s="12">
        <f>AVERAGE(9,9.5,11,7,13,12,12,14,15,10,9,15,12,14,13,11,10.5,9,13,11)</f>
        <v>11.5</v>
      </c>
      <c r="Q44" s="13">
        <v>4</v>
      </c>
      <c r="R44" s="23">
        <v>0</v>
      </c>
      <c r="S44" s="12">
        <v>95</v>
      </c>
      <c r="T44" s="12">
        <v>5</v>
      </c>
      <c r="U44" s="12">
        <v>0</v>
      </c>
      <c r="V44" s="12">
        <v>0</v>
      </c>
      <c r="W44" s="12">
        <v>0</v>
      </c>
      <c r="X44" s="12">
        <v>20</v>
      </c>
      <c r="Y44" s="12">
        <f>AVERAGE(14,15,13,13,12,11,8,10,9,10,12,13,16,16,14,8,12,13,11,16)</f>
        <v>12.3</v>
      </c>
      <c r="Z44" s="13">
        <v>4</v>
      </c>
      <c r="AA44" s="23">
        <v>0</v>
      </c>
    </row>
    <row r="45" spans="1:30" ht="23" customHeight="1" x14ac:dyDescent="0.2">
      <c r="A45" s="22">
        <v>74</v>
      </c>
      <c r="B45" s="12">
        <v>2</v>
      </c>
      <c r="C45" s="12" t="s">
        <v>2</v>
      </c>
      <c r="D45" s="12">
        <v>0.17</v>
      </c>
      <c r="E45" s="12">
        <v>0.53</v>
      </c>
      <c r="F45" s="23">
        <v>0.66</v>
      </c>
      <c r="G45" s="12">
        <v>100</v>
      </c>
      <c r="H45" s="12">
        <v>0</v>
      </c>
      <c r="I45" s="12">
        <v>0</v>
      </c>
      <c r="J45" s="22">
        <v>95</v>
      </c>
      <c r="K45" s="12">
        <v>5</v>
      </c>
      <c r="L45" s="12">
        <v>0</v>
      </c>
      <c r="M45" s="12">
        <v>0</v>
      </c>
      <c r="N45" s="12">
        <v>0</v>
      </c>
      <c r="O45" s="12">
        <v>20</v>
      </c>
      <c r="P45" s="12">
        <f>AVERAGE(13,10,10,11,9,8,12,14,13,16,13,12,8,10,11,7,15,12,10,10)</f>
        <v>11.2</v>
      </c>
      <c r="Q45" s="13">
        <v>3</v>
      </c>
      <c r="R45" s="23">
        <v>0</v>
      </c>
      <c r="S45" s="12">
        <v>95</v>
      </c>
      <c r="T45" s="12">
        <v>5</v>
      </c>
      <c r="U45" s="12">
        <v>0</v>
      </c>
      <c r="V45" s="12">
        <v>0</v>
      </c>
      <c r="W45" s="12">
        <v>0</v>
      </c>
      <c r="X45" s="12">
        <v>25</v>
      </c>
      <c r="Y45" s="12">
        <f>AVERAGE(14,11,12,15,14,13,8,10,7,12,9,14,15,8,10,11,15,14,13,12)</f>
        <v>11.85</v>
      </c>
      <c r="Z45" s="13">
        <v>4</v>
      </c>
      <c r="AA45" s="23">
        <v>0</v>
      </c>
    </row>
    <row r="46" spans="1:30" ht="23" customHeight="1" x14ac:dyDescent="0.2">
      <c r="A46" s="22">
        <v>75</v>
      </c>
      <c r="B46" s="12">
        <v>2</v>
      </c>
      <c r="C46" s="12" t="s">
        <v>14</v>
      </c>
      <c r="D46" s="12">
        <v>0.15</v>
      </c>
      <c r="E46" s="12">
        <v>0.65</v>
      </c>
      <c r="F46" s="23">
        <v>1</v>
      </c>
      <c r="G46" s="12">
        <v>100</v>
      </c>
      <c r="H46" s="12">
        <v>0</v>
      </c>
      <c r="I46" s="12">
        <v>0</v>
      </c>
      <c r="J46" s="22">
        <v>95</v>
      </c>
      <c r="K46" s="12">
        <v>5</v>
      </c>
      <c r="L46" s="12">
        <v>0</v>
      </c>
      <c r="M46" s="12">
        <v>0</v>
      </c>
      <c r="N46" s="12">
        <v>0</v>
      </c>
      <c r="O46" s="12">
        <v>20</v>
      </c>
      <c r="P46" s="12">
        <f>AVERAGE(7,10,11,11.5,14,12,11,8,10,10.5,11,9,14,15,11,9,8.5,7,12,11.5)</f>
        <v>10.65</v>
      </c>
      <c r="Q46" s="13">
        <v>4</v>
      </c>
      <c r="R46" s="23">
        <v>5</v>
      </c>
      <c r="S46" s="12">
        <v>80</v>
      </c>
      <c r="T46" s="12">
        <v>20</v>
      </c>
      <c r="U46" s="12">
        <v>0</v>
      </c>
      <c r="V46" s="12">
        <v>0</v>
      </c>
      <c r="W46" s="12">
        <v>0</v>
      </c>
      <c r="X46" s="12">
        <v>20</v>
      </c>
      <c r="Y46" s="25">
        <f>AVERAGE(16,14,14,9,12,11,8,15,12,13,12,11,10,8,15,12,11,10,8,10,12)</f>
        <v>11.571428571428571</v>
      </c>
      <c r="Z46" s="13">
        <v>4</v>
      </c>
      <c r="AA46" s="23">
        <v>5</v>
      </c>
    </row>
    <row r="47" spans="1:30" ht="23" customHeight="1" x14ac:dyDescent="0.2">
      <c r="A47" s="22">
        <v>76</v>
      </c>
      <c r="B47" s="12">
        <v>2</v>
      </c>
      <c r="C47" s="12" t="s">
        <v>14</v>
      </c>
      <c r="D47" s="12">
        <v>0.19</v>
      </c>
      <c r="E47" s="12">
        <v>0.67</v>
      </c>
      <c r="F47" s="23">
        <v>1</v>
      </c>
      <c r="G47" s="12">
        <v>100</v>
      </c>
      <c r="H47" s="12">
        <v>0</v>
      </c>
      <c r="I47" s="12">
        <v>0</v>
      </c>
      <c r="J47" s="22">
        <v>97</v>
      </c>
      <c r="K47" s="12">
        <v>3</v>
      </c>
      <c r="L47" s="12">
        <v>0</v>
      </c>
      <c r="M47" s="12">
        <v>0</v>
      </c>
      <c r="N47" s="12">
        <v>0</v>
      </c>
      <c r="O47" s="12">
        <v>20</v>
      </c>
      <c r="P47" s="12">
        <f>AVERAGE(13,12,12,17,15,20,10,10,11,14,16,18,10,19,17,16,14,15,11)</f>
        <v>14.210526315789474</v>
      </c>
      <c r="Q47" s="13">
        <v>4</v>
      </c>
      <c r="R47" s="23">
        <v>5</v>
      </c>
      <c r="S47" s="12">
        <v>95</v>
      </c>
      <c r="T47" s="12">
        <v>5</v>
      </c>
      <c r="U47" s="12">
        <v>0</v>
      </c>
      <c r="V47" s="12">
        <v>0</v>
      </c>
      <c r="W47" s="12">
        <v>0</v>
      </c>
      <c r="X47" s="12">
        <v>20</v>
      </c>
      <c r="Y47" s="12">
        <f>AVERAGE(17,13,10,12,18,13,11,19.5,13,12,14,15,13,17,16.5,14,15,17,19,13)</f>
        <v>14.6</v>
      </c>
      <c r="Z47" s="13">
        <v>3</v>
      </c>
      <c r="AA47" s="23">
        <v>5</v>
      </c>
    </row>
    <row r="48" spans="1:30" ht="23" customHeight="1" x14ac:dyDescent="0.2">
      <c r="A48" s="22">
        <v>77</v>
      </c>
      <c r="B48" s="12">
        <v>2</v>
      </c>
      <c r="C48" s="12" t="s">
        <v>14</v>
      </c>
      <c r="D48" s="12">
        <v>0.15</v>
      </c>
      <c r="E48" s="12">
        <v>0.52</v>
      </c>
      <c r="F48" s="23">
        <v>1</v>
      </c>
      <c r="G48" s="12">
        <v>100</v>
      </c>
      <c r="H48" s="12">
        <v>0</v>
      </c>
      <c r="I48" s="12">
        <v>0</v>
      </c>
      <c r="J48" s="22">
        <v>85</v>
      </c>
      <c r="K48" s="12">
        <v>15</v>
      </c>
      <c r="L48" s="12">
        <v>0</v>
      </c>
      <c r="M48" s="12">
        <v>0</v>
      </c>
      <c r="N48" s="12">
        <v>0</v>
      </c>
      <c r="O48" s="12">
        <v>20</v>
      </c>
      <c r="P48" s="12">
        <f>AVERAGE(15,13,13.5,11,14,10,8,9,9,12,16,10,10,14,12,15,9,10,11,14)</f>
        <v>11.775</v>
      </c>
      <c r="Q48" s="13">
        <v>3</v>
      </c>
      <c r="R48" s="23">
        <v>0</v>
      </c>
      <c r="S48" s="12">
        <v>95</v>
      </c>
      <c r="T48" s="12">
        <v>5</v>
      </c>
      <c r="U48" s="12">
        <v>0</v>
      </c>
      <c r="V48" s="12">
        <v>0</v>
      </c>
      <c r="W48" s="12">
        <v>0</v>
      </c>
      <c r="X48" s="12">
        <v>20</v>
      </c>
      <c r="Y48" s="12">
        <f>AVERAGE(13,12,12.5,10,8,6,14,16,12,13,13.5,10,10,11,14,9,10,10,11.5,12)</f>
        <v>11.375</v>
      </c>
      <c r="Z48" s="13">
        <v>3</v>
      </c>
      <c r="AA48" s="23">
        <v>0</v>
      </c>
    </row>
    <row r="49" spans="1:27" ht="23" customHeight="1" x14ac:dyDescent="0.2">
      <c r="A49" s="22">
        <v>78</v>
      </c>
      <c r="B49" s="12">
        <v>2</v>
      </c>
      <c r="C49" s="12" t="s">
        <v>14</v>
      </c>
      <c r="D49" s="12">
        <v>0.11</v>
      </c>
      <c r="E49" s="12">
        <v>0.47</v>
      </c>
      <c r="F49" s="23">
        <v>1</v>
      </c>
      <c r="G49" s="12">
        <v>100</v>
      </c>
      <c r="H49" s="12">
        <v>0</v>
      </c>
      <c r="I49" s="12">
        <v>0</v>
      </c>
      <c r="J49" s="22">
        <v>90</v>
      </c>
      <c r="K49" s="12">
        <v>10</v>
      </c>
      <c r="L49" s="12">
        <v>0</v>
      </c>
      <c r="M49" s="12">
        <v>0</v>
      </c>
      <c r="N49" s="12">
        <v>0</v>
      </c>
      <c r="O49" s="12">
        <v>10</v>
      </c>
      <c r="P49" s="12">
        <f>AVERAGE(11,9,7,12,12,5,7,6,9,8,8,10,11,12,5,8,11,6,7,5)</f>
        <v>8.4499999999999993</v>
      </c>
      <c r="Q49" s="13">
        <v>4</v>
      </c>
      <c r="R49" s="23">
        <v>0</v>
      </c>
      <c r="S49" s="12">
        <v>80</v>
      </c>
      <c r="T49" s="12">
        <v>20</v>
      </c>
      <c r="U49" s="12">
        <v>0</v>
      </c>
      <c r="V49" s="12">
        <v>0</v>
      </c>
      <c r="W49" s="12">
        <v>0</v>
      </c>
      <c r="X49" s="12">
        <v>15</v>
      </c>
      <c r="Y49" s="12">
        <f>AVERAGE(7,10,9,5,7,6,10,11,8,12,10,7,9,8,5,5.5,6,8,9,7)</f>
        <v>7.9749999999999996</v>
      </c>
      <c r="Z49" s="13">
        <v>3</v>
      </c>
      <c r="AA49" s="23">
        <v>0</v>
      </c>
    </row>
    <row r="50" spans="1:27" ht="23" customHeight="1" x14ac:dyDescent="0.2">
      <c r="A50" s="22">
        <v>79</v>
      </c>
      <c r="B50" s="12">
        <v>2</v>
      </c>
      <c r="C50" s="12" t="s">
        <v>14</v>
      </c>
      <c r="D50" s="12">
        <v>0.21</v>
      </c>
      <c r="E50" s="12">
        <v>0.48</v>
      </c>
      <c r="F50" s="23">
        <v>1</v>
      </c>
      <c r="G50" s="12">
        <v>100</v>
      </c>
      <c r="H50" s="12">
        <v>0</v>
      </c>
      <c r="I50" s="12">
        <v>0</v>
      </c>
      <c r="J50" s="22">
        <v>65</v>
      </c>
      <c r="K50" s="12">
        <v>35</v>
      </c>
      <c r="L50" s="12">
        <v>0</v>
      </c>
      <c r="M50" s="12">
        <v>0</v>
      </c>
      <c r="N50" s="12">
        <v>0</v>
      </c>
      <c r="O50" s="12">
        <v>10</v>
      </c>
      <c r="P50" s="12">
        <f>AVERAGE(8,11,6,7.5,8,9,10.5,9,7,11,12,8,9.5,10,10,7,6,12,10,9)</f>
        <v>9.0250000000000004</v>
      </c>
      <c r="Q50" s="13">
        <v>3</v>
      </c>
      <c r="R50" s="23">
        <v>0</v>
      </c>
      <c r="S50" s="12">
        <v>60</v>
      </c>
      <c r="T50" s="12">
        <v>40</v>
      </c>
      <c r="U50" s="12">
        <v>0</v>
      </c>
      <c r="V50" s="12">
        <v>0</v>
      </c>
      <c r="W50" s="12">
        <v>0</v>
      </c>
      <c r="X50" s="12">
        <v>10</v>
      </c>
      <c r="Y50" s="12">
        <f>AVERAGE(10,10,15,14,7,9,11,12,13,14,6,13,12,12.5,14,8,10,10,7,13)</f>
        <v>11.025</v>
      </c>
      <c r="Z50" s="13">
        <v>4</v>
      </c>
      <c r="AA50" s="23">
        <v>0</v>
      </c>
    </row>
    <row r="51" spans="1:27" ht="23" customHeight="1" x14ac:dyDescent="0.2">
      <c r="A51" s="22">
        <v>80</v>
      </c>
      <c r="B51" s="12">
        <v>2</v>
      </c>
      <c r="C51" s="12" t="s">
        <v>2</v>
      </c>
      <c r="D51" s="12">
        <v>0.2</v>
      </c>
      <c r="E51" s="12">
        <v>0.53</v>
      </c>
      <c r="F51" s="23">
        <v>1</v>
      </c>
      <c r="G51" s="12">
        <v>100</v>
      </c>
      <c r="H51" s="12">
        <v>0</v>
      </c>
      <c r="I51" s="12">
        <v>0</v>
      </c>
      <c r="J51" s="22">
        <v>90</v>
      </c>
      <c r="K51" s="12">
        <v>10</v>
      </c>
      <c r="L51" s="12">
        <v>0</v>
      </c>
      <c r="M51" s="12">
        <v>0</v>
      </c>
      <c r="N51" s="12">
        <v>0</v>
      </c>
      <c r="O51" s="12">
        <v>10</v>
      </c>
      <c r="P51" s="12">
        <f>AVERAGE(13,13,10,12,15,11,9,9,8.5,8,12,14,14,13,12,11,10,10,9,8)</f>
        <v>11.074999999999999</v>
      </c>
      <c r="Q51" s="13">
        <v>3</v>
      </c>
      <c r="R51" s="23">
        <v>0</v>
      </c>
      <c r="S51" s="12">
        <v>90</v>
      </c>
      <c r="T51" s="12">
        <v>10</v>
      </c>
      <c r="U51" s="12">
        <v>0</v>
      </c>
      <c r="V51" s="12">
        <v>0</v>
      </c>
      <c r="W51" s="12">
        <v>0</v>
      </c>
      <c r="X51" s="12">
        <v>15</v>
      </c>
      <c r="Y51" s="12">
        <f>AVERAGE(15,13,13.5,11,8,7,14,15,14,16,12,11,10,12,14,11.5,9,13.5,15,11)</f>
        <v>12.275</v>
      </c>
      <c r="Z51" s="13">
        <v>4</v>
      </c>
      <c r="AA51" s="23">
        <v>0</v>
      </c>
    </row>
    <row r="52" spans="1:27" ht="23" customHeight="1" x14ac:dyDescent="0.2">
      <c r="A52" s="22">
        <v>81</v>
      </c>
      <c r="B52" s="12">
        <v>2</v>
      </c>
      <c r="C52" s="12" t="s">
        <v>2</v>
      </c>
      <c r="D52" s="12">
        <v>0.15</v>
      </c>
      <c r="E52" s="12">
        <v>0.56000000000000005</v>
      </c>
      <c r="F52" s="23">
        <v>1</v>
      </c>
      <c r="G52" s="12">
        <v>100</v>
      </c>
      <c r="H52" s="12">
        <v>0</v>
      </c>
      <c r="I52" s="12">
        <v>0</v>
      </c>
      <c r="J52" s="22">
        <v>83</v>
      </c>
      <c r="K52" s="12">
        <v>17</v>
      </c>
      <c r="L52" s="12">
        <v>0</v>
      </c>
      <c r="M52" s="12">
        <v>0</v>
      </c>
      <c r="N52" s="12">
        <v>0</v>
      </c>
      <c r="O52" s="12">
        <v>20</v>
      </c>
      <c r="P52" s="12">
        <f>AVERAGE(15,16,15,10,8,10,9,12,11,11,13,14,11,9,11,10,12,13,14,11)</f>
        <v>11.75</v>
      </c>
      <c r="Q52" s="13">
        <v>3</v>
      </c>
      <c r="R52" s="23">
        <v>0</v>
      </c>
      <c r="S52" s="12">
        <v>85</v>
      </c>
      <c r="T52" s="12">
        <v>15</v>
      </c>
      <c r="U52" s="12">
        <v>0</v>
      </c>
      <c r="V52" s="12">
        <v>0</v>
      </c>
      <c r="W52" s="12">
        <v>0</v>
      </c>
      <c r="X52" s="12">
        <v>25</v>
      </c>
      <c r="Y52" s="12">
        <f>AVERAGE(11,8,13,13,10,15,12,11,13.5,14,16,9,11,12,12,14,15,12,13.5,11)</f>
        <v>12.3</v>
      </c>
      <c r="Z52" s="13">
        <v>5</v>
      </c>
      <c r="AA52" s="23">
        <v>0</v>
      </c>
    </row>
    <row r="53" spans="1:27" ht="23" customHeight="1" x14ac:dyDescent="0.2">
      <c r="A53" s="22">
        <v>82</v>
      </c>
      <c r="B53" s="12">
        <v>2</v>
      </c>
      <c r="C53" s="12" t="s">
        <v>2</v>
      </c>
      <c r="D53" s="12">
        <v>0.18</v>
      </c>
      <c r="E53" s="12">
        <v>0.6</v>
      </c>
      <c r="F53" s="23">
        <v>0.93</v>
      </c>
      <c r="G53" s="12">
        <v>100</v>
      </c>
      <c r="H53" s="12">
        <v>0</v>
      </c>
      <c r="I53" s="12">
        <v>0</v>
      </c>
      <c r="J53" s="22">
        <v>85</v>
      </c>
      <c r="K53" s="12">
        <v>15</v>
      </c>
      <c r="L53" s="12">
        <v>0</v>
      </c>
      <c r="M53" s="12">
        <v>0</v>
      </c>
      <c r="N53" s="12">
        <v>0</v>
      </c>
      <c r="O53" s="12">
        <v>15</v>
      </c>
      <c r="P53" s="12">
        <f>AVERAGE(14,14,11,10,11,8,12,8,11,10,10,9,14,16,13,11,10,9,10,13)</f>
        <v>11.2</v>
      </c>
      <c r="Q53" s="13">
        <v>4</v>
      </c>
      <c r="R53" s="23">
        <v>0</v>
      </c>
      <c r="S53" s="12">
        <v>95</v>
      </c>
      <c r="T53" s="12">
        <v>5</v>
      </c>
      <c r="U53" s="12">
        <v>0</v>
      </c>
      <c r="V53" s="12">
        <v>0</v>
      </c>
      <c r="W53" s="12">
        <v>0</v>
      </c>
      <c r="X53" s="12">
        <v>15</v>
      </c>
      <c r="Y53" s="12">
        <f>AVERAGE(9,13,12,15,8,10,13,12,14,13.5,14,12,9,10,13,10,11,14,12,10)</f>
        <v>11.725</v>
      </c>
      <c r="Z53" s="13">
        <v>5</v>
      </c>
      <c r="AA53" s="23">
        <v>0</v>
      </c>
    </row>
    <row r="54" spans="1:27" ht="23" customHeight="1" x14ac:dyDescent="0.2">
      <c r="A54" s="22">
        <v>83</v>
      </c>
      <c r="B54" s="12">
        <v>2</v>
      </c>
      <c r="C54" s="12" t="s">
        <v>2</v>
      </c>
      <c r="D54" s="12">
        <v>0.12</v>
      </c>
      <c r="E54" s="12">
        <v>0.62</v>
      </c>
      <c r="F54" s="23">
        <v>0.96</v>
      </c>
      <c r="G54" s="12">
        <v>100</v>
      </c>
      <c r="H54" s="12">
        <v>0</v>
      </c>
      <c r="I54" s="12">
        <v>0</v>
      </c>
      <c r="J54" s="22">
        <v>90</v>
      </c>
      <c r="K54" s="12">
        <v>10</v>
      </c>
      <c r="L54" s="12">
        <v>0</v>
      </c>
      <c r="M54" s="12">
        <v>0</v>
      </c>
      <c r="N54" s="12">
        <v>0</v>
      </c>
      <c r="O54" s="12">
        <v>10</v>
      </c>
      <c r="P54" s="12">
        <f>AVERAGE(8,13,7,10,12,11,10,14,15,13,13,12,11,7,10,8,12,14,11,10)</f>
        <v>11.05</v>
      </c>
      <c r="Q54" s="13">
        <v>3</v>
      </c>
      <c r="R54" s="23">
        <v>0</v>
      </c>
      <c r="S54" s="12">
        <v>95</v>
      </c>
      <c r="T54" s="12">
        <v>5</v>
      </c>
      <c r="U54" s="12">
        <v>0</v>
      </c>
      <c r="V54" s="12">
        <v>0</v>
      </c>
      <c r="W54" s="12">
        <v>0</v>
      </c>
      <c r="X54" s="12">
        <v>10</v>
      </c>
      <c r="Y54" s="12">
        <f>AVERAGE(12,11,12,10,13,13,7,11,12,9,13,10,10,14,13,9,14,11,8,13)</f>
        <v>11.25</v>
      </c>
      <c r="Z54" s="13">
        <v>4</v>
      </c>
      <c r="AA54" s="23">
        <v>0</v>
      </c>
    </row>
    <row r="55" spans="1:27" ht="23" customHeight="1" x14ac:dyDescent="0.2">
      <c r="A55" s="26">
        <v>84</v>
      </c>
      <c r="B55" s="27">
        <v>2</v>
      </c>
      <c r="C55" s="27" t="s">
        <v>2</v>
      </c>
      <c r="D55" s="27">
        <v>0.18</v>
      </c>
      <c r="E55" s="27">
        <v>0.52</v>
      </c>
      <c r="F55" s="28">
        <v>0.93</v>
      </c>
      <c r="G55" s="27">
        <v>100</v>
      </c>
      <c r="H55" s="27">
        <v>0</v>
      </c>
      <c r="I55" s="27">
        <v>0</v>
      </c>
      <c r="J55" s="26">
        <v>93</v>
      </c>
      <c r="K55" s="27">
        <v>7</v>
      </c>
      <c r="L55" s="27">
        <v>0</v>
      </c>
      <c r="M55" s="27">
        <v>0</v>
      </c>
      <c r="N55" s="27">
        <v>0</v>
      </c>
      <c r="O55" s="27">
        <v>10</v>
      </c>
      <c r="P55" s="27">
        <f>AVERAGE(14,10,10,12,8,9,13,13,11,10,10,8,9,8,11,11,14,15,8,9)</f>
        <v>10.65</v>
      </c>
      <c r="Q55" s="15">
        <v>4</v>
      </c>
      <c r="R55" s="28">
        <v>0</v>
      </c>
      <c r="S55" s="27">
        <v>100</v>
      </c>
      <c r="T55" s="27">
        <v>0</v>
      </c>
      <c r="U55" s="27">
        <v>0</v>
      </c>
      <c r="V55" s="27">
        <v>0</v>
      </c>
      <c r="W55" s="27">
        <v>0</v>
      </c>
      <c r="X55" s="27">
        <v>15</v>
      </c>
      <c r="Y55" s="27">
        <f>AVERAGE(15,13,10,11,11,14,10,12,12.5,8,13,11,14,11,9,13,12.5,14,14,11)</f>
        <v>11.95</v>
      </c>
      <c r="Z55" s="15">
        <v>5</v>
      </c>
      <c r="AA55" s="28">
        <v>0</v>
      </c>
    </row>
    <row r="57" spans="1:27" x14ac:dyDescent="0.2">
      <c r="D57" t="s">
        <v>66</v>
      </c>
      <c r="E57" t="s">
        <v>68</v>
      </c>
      <c r="F57" t="s">
        <v>69</v>
      </c>
      <c r="G57" t="s">
        <v>106</v>
      </c>
    </row>
    <row r="58" spans="1:27" x14ac:dyDescent="0.2">
      <c r="C58" s="12" t="s">
        <v>55</v>
      </c>
      <c r="D58" s="31">
        <f>AVERAGE(D6:D35)</f>
        <v>0.52933333333333332</v>
      </c>
      <c r="E58" s="31">
        <f>AVERAGE(E6:E35)</f>
        <v>0.45833333333333326</v>
      </c>
      <c r="F58" s="31">
        <f>AVERAGE(F6:F35)</f>
        <v>0.9860000000000001</v>
      </c>
    </row>
    <row r="59" spans="1:27" x14ac:dyDescent="0.2">
      <c r="D59" s="31">
        <f>STDEV(D6:D35)</f>
        <v>4.3781064505050614E-2</v>
      </c>
      <c r="E59" s="31">
        <f>STDEV(E6:E35)</f>
        <v>0.14699480012697019</v>
      </c>
      <c r="F59" s="31">
        <f>STDEV(F6:F35)</f>
        <v>5.3343389856469664E-2</v>
      </c>
    </row>
    <row r="60" spans="1:27" x14ac:dyDescent="0.2">
      <c r="C60" s="12" t="s">
        <v>65</v>
      </c>
      <c r="D60" s="31">
        <f>AVERAGE(D36:D55)</f>
        <v>0.15750000000000003</v>
      </c>
      <c r="E60" s="31">
        <f t="shared" ref="E60:F60" si="8">AVERAGE(E36:E55)</f>
        <v>0.55149999999999988</v>
      </c>
      <c r="F60" s="31">
        <f t="shared" si="8"/>
        <v>0.92599999999999993</v>
      </c>
    </row>
    <row r="61" spans="1:27" x14ac:dyDescent="0.2">
      <c r="D61" s="31">
        <f>STDEV(D36:D55)</f>
        <v>2.8996370008747795E-2</v>
      </c>
      <c r="E61" s="31">
        <f t="shared" ref="E61:F61" si="9">STDEV(E36:E55)</f>
        <v>5.9407158881031021E-2</v>
      </c>
      <c r="F61" s="31">
        <f t="shared" si="9"/>
        <v>0.14076482814291824</v>
      </c>
    </row>
    <row r="63" spans="1:27" x14ac:dyDescent="0.2">
      <c r="C63" t="s">
        <v>109</v>
      </c>
      <c r="D63" t="s">
        <v>107</v>
      </c>
      <c r="E63" t="s">
        <v>108</v>
      </c>
    </row>
    <row r="64" spans="1:27" x14ac:dyDescent="0.2">
      <c r="C64" t="s">
        <v>55</v>
      </c>
      <c r="D64">
        <f>MAX(E6:E35)</f>
        <v>0.7</v>
      </c>
      <c r="E64">
        <f>MIN(E6:E35)</f>
        <v>0.2</v>
      </c>
    </row>
    <row r="66" spans="2:17" x14ac:dyDescent="0.2">
      <c r="C66" t="s">
        <v>84</v>
      </c>
      <c r="D66">
        <f>MAX(E36:E55)</f>
        <v>0.67</v>
      </c>
      <c r="E66">
        <f>MIN(E36:E55)</f>
        <v>0.46</v>
      </c>
    </row>
    <row r="67" spans="2:17" x14ac:dyDescent="0.2">
      <c r="P67" s="30" t="s">
        <v>280</v>
      </c>
    </row>
    <row r="68" spans="2:17" x14ac:dyDescent="0.2">
      <c r="C68" s="4" t="s">
        <v>120</v>
      </c>
      <c r="O68" t="s">
        <v>283</v>
      </c>
      <c r="P68">
        <v>182.8</v>
      </c>
      <c r="Q68" s="32">
        <v>19.077680538703852</v>
      </c>
    </row>
    <row r="69" spans="2:17" x14ac:dyDescent="0.2">
      <c r="B69" t="s">
        <v>278</v>
      </c>
      <c r="C69" t="s">
        <v>128</v>
      </c>
      <c r="D69" t="s">
        <v>121</v>
      </c>
      <c r="E69" t="s">
        <v>128</v>
      </c>
      <c r="O69" t="s">
        <v>282</v>
      </c>
      <c r="P69">
        <v>280</v>
      </c>
      <c r="Q69" s="32">
        <v>31.119464208619963</v>
      </c>
    </row>
    <row r="70" spans="2:17" x14ac:dyDescent="0.2">
      <c r="B70" s="4">
        <v>38</v>
      </c>
      <c r="C70">
        <f>B70*4</f>
        <v>152</v>
      </c>
      <c r="D70" s="4">
        <v>65</v>
      </c>
      <c r="E70">
        <f>D70*4</f>
        <v>260</v>
      </c>
    </row>
    <row r="71" spans="2:17" x14ac:dyDescent="0.2">
      <c r="B71" s="4">
        <v>47</v>
      </c>
      <c r="C71">
        <f t="shared" ref="C71:C89" si="10">B71*4</f>
        <v>188</v>
      </c>
      <c r="D71" s="4">
        <v>60</v>
      </c>
      <c r="E71">
        <f t="shared" ref="E71:E89" si="11">D71*4</f>
        <v>240</v>
      </c>
      <c r="O71" s="30"/>
      <c r="P71" s="30" t="s">
        <v>279</v>
      </c>
    </row>
    <row r="72" spans="2:17" x14ac:dyDescent="0.2">
      <c r="B72" s="4">
        <v>55</v>
      </c>
      <c r="C72">
        <f t="shared" si="10"/>
        <v>220</v>
      </c>
      <c r="D72" s="4">
        <v>60</v>
      </c>
      <c r="E72">
        <f t="shared" si="11"/>
        <v>240</v>
      </c>
      <c r="O72" t="s">
        <v>283</v>
      </c>
      <c r="P72" s="32">
        <f>AVERAGE(Q6:Q35)</f>
        <v>4.0666666666666664</v>
      </c>
      <c r="Q72" s="32">
        <f>STDEV((Q6:Q35))</f>
        <v>0.63968382994949213</v>
      </c>
    </row>
    <row r="73" spans="2:17" x14ac:dyDescent="0.2">
      <c r="B73" s="4">
        <v>48</v>
      </c>
      <c r="C73">
        <f t="shared" si="10"/>
        <v>192</v>
      </c>
      <c r="D73" s="4">
        <v>70</v>
      </c>
      <c r="E73">
        <f t="shared" si="11"/>
        <v>280</v>
      </c>
      <c r="O73" t="s">
        <v>282</v>
      </c>
      <c r="P73" s="32">
        <f>AVERAGE(Q36:Q55)</f>
        <v>3.45</v>
      </c>
      <c r="Q73" s="32">
        <f>STDEV(Q36:Q55)</f>
        <v>0.51041778553403983</v>
      </c>
    </row>
    <row r="74" spans="2:17" x14ac:dyDescent="0.2">
      <c r="B74" s="4">
        <v>45</v>
      </c>
      <c r="C74">
        <f t="shared" si="10"/>
        <v>180</v>
      </c>
      <c r="D74" s="4">
        <v>65</v>
      </c>
      <c r="E74">
        <f t="shared" si="11"/>
        <v>260</v>
      </c>
    </row>
    <row r="75" spans="2:17" x14ac:dyDescent="0.2">
      <c r="B75" s="4">
        <v>52</v>
      </c>
      <c r="C75">
        <f t="shared" si="10"/>
        <v>208</v>
      </c>
      <c r="D75" s="4">
        <v>60</v>
      </c>
      <c r="E75">
        <f t="shared" si="11"/>
        <v>240</v>
      </c>
      <c r="P75" s="30" t="s">
        <v>281</v>
      </c>
    </row>
    <row r="76" spans="2:17" x14ac:dyDescent="0.2">
      <c r="B76" s="4">
        <v>45</v>
      </c>
      <c r="C76">
        <f t="shared" si="10"/>
        <v>180</v>
      </c>
      <c r="D76" s="4">
        <v>65</v>
      </c>
      <c r="E76">
        <f t="shared" si="11"/>
        <v>260</v>
      </c>
      <c r="O76" t="s">
        <v>283</v>
      </c>
      <c r="P76" s="32">
        <f>P68*P72</f>
        <v>743.38666666666666</v>
      </c>
    </row>
    <row r="77" spans="2:17" x14ac:dyDescent="0.2">
      <c r="B77" s="4">
        <v>47</v>
      </c>
      <c r="C77">
        <f t="shared" si="10"/>
        <v>188</v>
      </c>
      <c r="D77" s="4">
        <v>80</v>
      </c>
      <c r="E77">
        <f t="shared" si="11"/>
        <v>320</v>
      </c>
      <c r="O77" t="s">
        <v>282</v>
      </c>
      <c r="P77">
        <f>P69*P73</f>
        <v>966</v>
      </c>
    </row>
    <row r="78" spans="2:17" x14ac:dyDescent="0.2">
      <c r="B78" s="4">
        <v>42</v>
      </c>
      <c r="C78">
        <f t="shared" si="10"/>
        <v>168</v>
      </c>
      <c r="D78" s="4">
        <v>75</v>
      </c>
      <c r="E78">
        <f t="shared" si="11"/>
        <v>300</v>
      </c>
    </row>
    <row r="79" spans="2:17" x14ac:dyDescent="0.2">
      <c r="B79" s="4">
        <v>45</v>
      </c>
      <c r="C79">
        <f t="shared" si="10"/>
        <v>180</v>
      </c>
      <c r="D79" s="4">
        <v>65</v>
      </c>
      <c r="E79">
        <f t="shared" si="11"/>
        <v>260</v>
      </c>
    </row>
    <row r="80" spans="2:17" x14ac:dyDescent="0.2">
      <c r="B80" s="4">
        <v>36</v>
      </c>
      <c r="C80">
        <f t="shared" si="10"/>
        <v>144</v>
      </c>
      <c r="D80" s="4">
        <v>85</v>
      </c>
      <c r="E80">
        <f t="shared" si="11"/>
        <v>340</v>
      </c>
    </row>
    <row r="81" spans="2:5" x14ac:dyDescent="0.2">
      <c r="B81" s="4">
        <v>48</v>
      </c>
      <c r="C81">
        <f t="shared" si="10"/>
        <v>192</v>
      </c>
      <c r="D81" s="4">
        <v>80</v>
      </c>
      <c r="E81">
        <f t="shared" si="11"/>
        <v>320</v>
      </c>
    </row>
    <row r="82" spans="2:5" x14ac:dyDescent="0.2">
      <c r="B82" s="4">
        <v>50</v>
      </c>
      <c r="C82">
        <f t="shared" si="10"/>
        <v>200</v>
      </c>
      <c r="D82" s="4">
        <v>75</v>
      </c>
      <c r="E82">
        <f t="shared" si="11"/>
        <v>300</v>
      </c>
    </row>
    <row r="83" spans="2:5" x14ac:dyDescent="0.2">
      <c r="B83" s="4">
        <v>45</v>
      </c>
      <c r="C83">
        <f t="shared" si="10"/>
        <v>180</v>
      </c>
      <c r="D83" s="4">
        <v>70</v>
      </c>
      <c r="E83">
        <f t="shared" si="11"/>
        <v>280</v>
      </c>
    </row>
    <row r="84" spans="2:5" x14ac:dyDescent="0.2">
      <c r="B84" s="4">
        <v>38</v>
      </c>
      <c r="C84">
        <f t="shared" si="10"/>
        <v>152</v>
      </c>
      <c r="D84" s="4">
        <v>65</v>
      </c>
      <c r="E84">
        <f t="shared" si="11"/>
        <v>260</v>
      </c>
    </row>
    <row r="85" spans="2:5" x14ac:dyDescent="0.2">
      <c r="B85" s="4">
        <v>45</v>
      </c>
      <c r="C85">
        <f t="shared" si="10"/>
        <v>180</v>
      </c>
      <c r="D85" s="4">
        <v>60</v>
      </c>
      <c r="E85">
        <f t="shared" si="11"/>
        <v>240</v>
      </c>
    </row>
    <row r="86" spans="2:5" x14ac:dyDescent="0.2">
      <c r="B86" s="4">
        <v>47</v>
      </c>
      <c r="C86">
        <f t="shared" si="10"/>
        <v>188</v>
      </c>
      <c r="D86" s="4">
        <v>75</v>
      </c>
      <c r="E86">
        <f t="shared" si="11"/>
        <v>300</v>
      </c>
    </row>
    <row r="87" spans="2:5" x14ac:dyDescent="0.2">
      <c r="B87" s="4">
        <v>42</v>
      </c>
      <c r="C87">
        <f t="shared" si="10"/>
        <v>168</v>
      </c>
      <c r="D87" s="4">
        <v>80</v>
      </c>
      <c r="E87">
        <f t="shared" si="11"/>
        <v>320</v>
      </c>
    </row>
    <row r="88" spans="2:5" x14ac:dyDescent="0.2">
      <c r="B88" s="4">
        <v>50</v>
      </c>
      <c r="C88">
        <f t="shared" si="10"/>
        <v>200</v>
      </c>
      <c r="D88" s="4">
        <v>75</v>
      </c>
      <c r="E88">
        <f t="shared" si="11"/>
        <v>300</v>
      </c>
    </row>
    <row r="89" spans="2:5" x14ac:dyDescent="0.2">
      <c r="B89" s="4">
        <v>49</v>
      </c>
      <c r="C89">
        <f t="shared" si="10"/>
        <v>196</v>
      </c>
      <c r="D89" s="4">
        <v>70</v>
      </c>
      <c r="E89">
        <f t="shared" si="11"/>
        <v>280</v>
      </c>
    </row>
    <row r="91" spans="2:5" x14ac:dyDescent="0.2">
      <c r="C91" s="32">
        <f>AVERAGE(C70:C89)</f>
        <v>182.8</v>
      </c>
      <c r="D91" s="32"/>
      <c r="E91" s="32">
        <f t="shared" ref="E91" si="12">AVERAGE(E70:E89)</f>
        <v>280</v>
      </c>
    </row>
    <row r="92" spans="2:5" x14ac:dyDescent="0.2">
      <c r="C92" s="32">
        <f>STDEV(C70:C89)</f>
        <v>19.077680538703852</v>
      </c>
      <c r="D92" s="32"/>
      <c r="E92" s="32">
        <f t="shared" ref="E92" si="13">STDEV(E70:E89)</f>
        <v>31.119464208619963</v>
      </c>
    </row>
    <row r="106" spans="2:13" x14ac:dyDescent="0.2">
      <c r="B106" s="102"/>
      <c r="C106" s="100"/>
      <c r="D106" s="100"/>
      <c r="E106" s="100"/>
      <c r="F106" s="100"/>
      <c r="G106" s="100"/>
      <c r="I106" s="100"/>
      <c r="K106" s="100"/>
      <c r="L106" s="100"/>
    </row>
    <row r="107" spans="2:13" x14ac:dyDescent="0.2">
      <c r="B107" s="103"/>
      <c r="C107" s="30"/>
      <c r="D107" s="32"/>
      <c r="E107" s="32"/>
      <c r="F107" s="32"/>
      <c r="G107" s="32"/>
      <c r="M107" s="32"/>
    </row>
    <row r="108" spans="2:13" x14ac:dyDescent="0.2">
      <c r="B108" s="103"/>
      <c r="C108" s="30"/>
      <c r="D108" s="101"/>
      <c r="E108" s="101"/>
      <c r="F108" s="32"/>
      <c r="G108" s="32"/>
      <c r="M108" s="32"/>
    </row>
    <row r="109" spans="2:13" x14ac:dyDescent="0.2">
      <c r="B109" s="103"/>
      <c r="C109" s="30"/>
      <c r="D109" s="101"/>
      <c r="E109" s="101"/>
      <c r="F109" s="32"/>
      <c r="G109" s="32"/>
      <c r="M109" s="32"/>
    </row>
    <row r="110" spans="2:13" x14ac:dyDescent="0.2">
      <c r="B110" s="103"/>
      <c r="C110" s="30"/>
      <c r="D110" s="101"/>
      <c r="E110" s="101"/>
      <c r="F110" s="32"/>
      <c r="G110" s="32"/>
      <c r="M110" s="32"/>
    </row>
    <row r="111" spans="2:13" x14ac:dyDescent="0.2">
      <c r="B111" s="103"/>
      <c r="C111" s="30"/>
      <c r="D111" s="101"/>
      <c r="E111" s="101"/>
      <c r="F111" s="32"/>
      <c r="G111" s="32"/>
      <c r="M111" s="32"/>
    </row>
  </sheetData>
  <mergeCells count="9">
    <mergeCell ref="D4:F4"/>
    <mergeCell ref="G4:I4"/>
    <mergeCell ref="J4:R4"/>
    <mergeCell ref="S4:AA4"/>
    <mergeCell ref="BD4:BL4"/>
    <mergeCell ref="AL4:AT4"/>
    <mergeCell ref="AU4:BC4"/>
    <mergeCell ref="AI4:AK4"/>
    <mergeCell ref="AF4:AH4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AF20A-FFB5-6440-998D-C559EFE27385}">
  <dimension ref="A3:D16"/>
  <sheetViews>
    <sheetView workbookViewId="0">
      <selection activeCell="C14" sqref="C14"/>
    </sheetView>
  </sheetViews>
  <sheetFormatPr baseColWidth="10" defaultRowHeight="16" x14ac:dyDescent="0.2"/>
  <cols>
    <col min="1" max="1" width="21.5" customWidth="1"/>
  </cols>
  <sheetData>
    <row r="3" spans="1:4" x14ac:dyDescent="0.2">
      <c r="C3" t="s">
        <v>55</v>
      </c>
      <c r="D3" t="s">
        <v>105</v>
      </c>
    </row>
    <row r="4" spans="1:4" x14ac:dyDescent="0.2">
      <c r="A4" t="s">
        <v>94</v>
      </c>
      <c r="B4" t="s">
        <v>100</v>
      </c>
      <c r="C4" s="32">
        <v>11.2477506425</v>
      </c>
      <c r="D4" s="32">
        <v>13.983384200000003</v>
      </c>
    </row>
    <row r="5" spans="1:4" x14ac:dyDescent="0.2">
      <c r="A5" t="s">
        <v>95</v>
      </c>
      <c r="B5" t="s">
        <v>101</v>
      </c>
      <c r="C5" s="41">
        <v>29.615424999999998</v>
      </c>
      <c r="D5" s="41">
        <v>31.016987499999999</v>
      </c>
    </row>
    <row r="6" spans="1:4" x14ac:dyDescent="0.2">
      <c r="A6" t="s">
        <v>96</v>
      </c>
      <c r="B6" t="s">
        <v>102</v>
      </c>
      <c r="C6" s="32">
        <v>20.163857999999998</v>
      </c>
      <c r="D6" s="32">
        <v>20.231355000000001</v>
      </c>
    </row>
    <row r="7" spans="1:4" x14ac:dyDescent="0.2">
      <c r="A7" t="s">
        <v>97</v>
      </c>
      <c r="B7" t="s">
        <v>103</v>
      </c>
      <c r="C7" s="32">
        <v>12.420952499999999</v>
      </c>
      <c r="D7" s="32">
        <v>13.605342499999999</v>
      </c>
    </row>
    <row r="8" spans="1:4" x14ac:dyDescent="0.2">
      <c r="A8" t="s">
        <v>98</v>
      </c>
      <c r="B8" t="s">
        <v>104</v>
      </c>
      <c r="C8" s="32">
        <v>8.6720439999999996</v>
      </c>
      <c r="D8" s="32">
        <v>9.5573974999999987</v>
      </c>
    </row>
    <row r="9" spans="1:4" x14ac:dyDescent="0.2">
      <c r="A9" t="s">
        <v>99</v>
      </c>
      <c r="B9" s="104" t="s">
        <v>284</v>
      </c>
      <c r="C9" s="41">
        <v>15.554324225</v>
      </c>
      <c r="D9" s="41">
        <v>10.374058050000002</v>
      </c>
    </row>
    <row r="10" spans="1:4" x14ac:dyDescent="0.2">
      <c r="A10" t="s">
        <v>286</v>
      </c>
      <c r="B10" t="s">
        <v>285</v>
      </c>
      <c r="C10" s="32">
        <v>8.9447777028846154E-2</v>
      </c>
      <c r="D10" s="32">
        <v>4.7364551028846152E-2</v>
      </c>
    </row>
    <row r="11" spans="1:4" x14ac:dyDescent="0.2">
      <c r="D11" s="32"/>
    </row>
    <row r="14" spans="1:4" x14ac:dyDescent="0.2">
      <c r="A14" t="s">
        <v>287</v>
      </c>
      <c r="B14" t="s">
        <v>277</v>
      </c>
      <c r="C14" s="32">
        <f>SUM(C4:C5)</f>
        <v>40.863175642499996</v>
      </c>
      <c r="D14" s="32">
        <f>SUM(D4:D5)</f>
        <v>45.000371700000002</v>
      </c>
    </row>
    <row r="15" spans="1:4" x14ac:dyDescent="0.2">
      <c r="A15" t="s">
        <v>275</v>
      </c>
      <c r="B15" t="s">
        <v>276</v>
      </c>
      <c r="C15" s="32">
        <f>SUM(C6:C8)</f>
        <v>41.256854499999996</v>
      </c>
      <c r="D15" s="32">
        <f>SUM(D6:D8)</f>
        <v>43.394095</v>
      </c>
    </row>
    <row r="16" spans="1:4" x14ac:dyDescent="0.2">
      <c r="A16" t="s">
        <v>99</v>
      </c>
      <c r="B16" s="104" t="s">
        <v>284</v>
      </c>
      <c r="C16" s="41">
        <v>15.554324225</v>
      </c>
      <c r="D16" s="41">
        <v>10.374058050000002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963D9-53F4-4F42-B6AE-3CE1B4020DC7}">
  <dimension ref="A1:I19"/>
  <sheetViews>
    <sheetView workbookViewId="0">
      <selection activeCell="E22" sqref="E22"/>
    </sheetView>
  </sheetViews>
  <sheetFormatPr baseColWidth="10" defaultRowHeight="16" x14ac:dyDescent="0.2"/>
  <cols>
    <col min="7" max="7" width="11.6640625" bestFit="1" customWidth="1"/>
    <col min="9" max="9" width="13.6640625" bestFit="1" customWidth="1"/>
  </cols>
  <sheetData>
    <row r="1" spans="1:9" x14ac:dyDescent="0.2">
      <c r="A1" s="33"/>
      <c r="B1" s="109" t="s">
        <v>70</v>
      </c>
      <c r="C1" s="110"/>
      <c r="D1" s="110"/>
      <c r="E1" s="33"/>
      <c r="F1" s="33"/>
      <c r="G1" s="33"/>
    </row>
    <row r="2" spans="1:9" x14ac:dyDescent="0.2">
      <c r="A2" s="33"/>
      <c r="B2" s="34"/>
      <c r="C2" s="33"/>
      <c r="D2" s="33"/>
      <c r="E2" s="33"/>
      <c r="F2" s="33"/>
      <c r="G2" s="33"/>
    </row>
    <row r="3" spans="1:9" x14ac:dyDescent="0.2">
      <c r="A3" s="34"/>
      <c r="B3" s="35" t="s">
        <v>71</v>
      </c>
      <c r="C3" s="34" t="s">
        <v>72</v>
      </c>
      <c r="D3" s="34" t="s">
        <v>73</v>
      </c>
      <c r="E3" s="34"/>
      <c r="F3" s="34"/>
      <c r="G3" s="34"/>
    </row>
    <row r="4" spans="1:9" x14ac:dyDescent="0.2">
      <c r="A4" s="33" t="s">
        <v>55</v>
      </c>
      <c r="B4" s="36">
        <v>35</v>
      </c>
      <c r="C4" s="37">
        <v>0.12934104323782705</v>
      </c>
      <c r="D4" s="37">
        <v>0.82367830773874917</v>
      </c>
      <c r="E4" s="33"/>
      <c r="F4" s="33"/>
      <c r="G4" s="33"/>
    </row>
    <row r="5" spans="1:9" x14ac:dyDescent="0.2">
      <c r="A5" s="33" t="s">
        <v>55</v>
      </c>
      <c r="B5" s="36">
        <v>39</v>
      </c>
      <c r="C5" s="37">
        <v>0.10487664022872749</v>
      </c>
      <c r="D5" s="37">
        <v>0.6714009286945668</v>
      </c>
      <c r="E5" s="33"/>
      <c r="F5" s="33"/>
      <c r="G5" s="33"/>
    </row>
    <row r="6" spans="1:9" x14ac:dyDescent="0.2">
      <c r="A6" s="33" t="s">
        <v>55</v>
      </c>
      <c r="B6" s="36" t="s">
        <v>74</v>
      </c>
      <c r="C6" s="37">
        <v>0.10551989685377364</v>
      </c>
      <c r="D6" s="37">
        <v>0.42684348740211348</v>
      </c>
      <c r="E6" s="33"/>
      <c r="F6" s="33"/>
      <c r="G6" s="33"/>
    </row>
    <row r="7" spans="1:9" x14ac:dyDescent="0.2">
      <c r="A7" s="33" t="s">
        <v>55</v>
      </c>
      <c r="B7" s="36" t="s">
        <v>75</v>
      </c>
      <c r="C7" s="37">
        <v>0.11395075716473239</v>
      </c>
      <c r="D7" s="37">
        <v>0.69397221474199922</v>
      </c>
      <c r="E7" s="33"/>
      <c r="F7" s="33"/>
      <c r="G7" s="33"/>
    </row>
    <row r="8" spans="1:9" x14ac:dyDescent="0.2">
      <c r="A8" s="33" t="s">
        <v>55</v>
      </c>
      <c r="B8" s="36" t="s">
        <v>76</v>
      </c>
      <c r="C8" s="37">
        <v>0.11417284068377183</v>
      </c>
      <c r="D8" s="37">
        <v>0.80435375021326638</v>
      </c>
      <c r="E8" s="33"/>
      <c r="F8" s="33"/>
      <c r="G8" s="33"/>
    </row>
    <row r="9" spans="1:9" x14ac:dyDescent="0.2">
      <c r="A9" s="33" t="s">
        <v>55</v>
      </c>
      <c r="B9" s="36" t="s">
        <v>77</v>
      </c>
      <c r="C9" s="37">
        <v>0.12274455807256446</v>
      </c>
      <c r="D9" s="37">
        <v>0.78922965561594849</v>
      </c>
      <c r="E9" s="33"/>
      <c r="F9" s="33" t="s">
        <v>78</v>
      </c>
      <c r="G9" t="s">
        <v>93</v>
      </c>
      <c r="H9" s="33" t="s">
        <v>79</v>
      </c>
    </row>
    <row r="10" spans="1:9" x14ac:dyDescent="0.2">
      <c r="A10" s="33" t="s">
        <v>55</v>
      </c>
      <c r="B10" s="36" t="s">
        <v>80</v>
      </c>
      <c r="C10" s="37">
        <v>9.8796489569981966E-2</v>
      </c>
      <c r="D10" s="37">
        <v>0.60714244502777071</v>
      </c>
      <c r="E10" s="33" t="s">
        <v>81</v>
      </c>
      <c r="F10" s="37">
        <f>AVERAGE(D4:D11)</f>
        <v>0.68642300884115093</v>
      </c>
      <c r="G10" s="31">
        <f>STDEV(D4:D11)</f>
        <v>0.12950533461396746</v>
      </c>
      <c r="H10" s="37">
        <f>AVERAGE(C4:C11)</f>
        <v>0.11046152662626704</v>
      </c>
      <c r="I10" s="31">
        <f>STDEV(C4:C11)</f>
        <v>1.1871093514696635E-2</v>
      </c>
    </row>
    <row r="11" spans="1:9" x14ac:dyDescent="0.2">
      <c r="A11" s="33" t="s">
        <v>55</v>
      </c>
      <c r="B11" s="36" t="s">
        <v>82</v>
      </c>
      <c r="C11" s="37">
        <v>9.4289987198757433E-2</v>
      </c>
      <c r="D11" s="37">
        <v>0.6747632812947929</v>
      </c>
      <c r="E11" s="33" t="s">
        <v>83</v>
      </c>
      <c r="F11" s="37">
        <f>AVERAGE(D12:D19)</f>
        <v>1.2703413287358112</v>
      </c>
      <c r="G11" s="31">
        <f>STDEV(D12:D19)</f>
        <v>0.53184905181295372</v>
      </c>
      <c r="H11" s="37">
        <f>AVERAGE(C12:C19)</f>
        <v>0.15635640121051139</v>
      </c>
      <c r="I11" s="31">
        <f>STDEV(C12:C19)</f>
        <v>4.6781132246272832E-2</v>
      </c>
    </row>
    <row r="12" spans="1:9" x14ac:dyDescent="0.2">
      <c r="A12" s="38" t="s">
        <v>84</v>
      </c>
      <c r="B12" s="39" t="s">
        <v>85</v>
      </c>
      <c r="C12" s="40">
        <v>0.2063968996824869</v>
      </c>
      <c r="D12" s="40">
        <v>1.8535239276576361</v>
      </c>
      <c r="E12" s="33"/>
      <c r="F12" s="33"/>
      <c r="G12" s="33"/>
    </row>
    <row r="13" spans="1:9" x14ac:dyDescent="0.2">
      <c r="A13" s="33" t="s">
        <v>84</v>
      </c>
      <c r="B13" s="36" t="s">
        <v>86</v>
      </c>
      <c r="C13" s="37">
        <v>0.11790240551967314</v>
      </c>
      <c r="D13" s="37">
        <v>0.7946162518652603</v>
      </c>
      <c r="E13" s="33"/>
      <c r="F13" s="33"/>
      <c r="G13" s="33"/>
    </row>
    <row r="14" spans="1:9" x14ac:dyDescent="0.2">
      <c r="A14" s="33" t="s">
        <v>84</v>
      </c>
      <c r="B14" s="36" t="s">
        <v>87</v>
      </c>
      <c r="C14" s="37">
        <v>0.19045012639625339</v>
      </c>
      <c r="D14" s="37">
        <v>1.47839649738324</v>
      </c>
      <c r="E14" s="33"/>
      <c r="F14" s="33"/>
      <c r="G14" s="33"/>
    </row>
    <row r="15" spans="1:9" x14ac:dyDescent="0.2">
      <c r="A15" s="33" t="s">
        <v>84</v>
      </c>
      <c r="B15" s="36" t="s">
        <v>88</v>
      </c>
      <c r="C15" s="37">
        <v>0.102086559673968</v>
      </c>
      <c r="D15" s="37">
        <v>0.57752963939822088</v>
      </c>
      <c r="E15" s="33"/>
      <c r="F15" s="33"/>
      <c r="G15" s="33"/>
    </row>
    <row r="16" spans="1:9" x14ac:dyDescent="0.2">
      <c r="A16" s="33" t="s">
        <v>84</v>
      </c>
      <c r="B16" s="36" t="s">
        <v>89</v>
      </c>
      <c r="C16" s="37">
        <v>0.14887682092687374</v>
      </c>
      <c r="D16" s="37">
        <v>1.2074968610604553</v>
      </c>
      <c r="E16" s="33"/>
      <c r="F16" s="33"/>
      <c r="G16" s="33"/>
    </row>
    <row r="17" spans="1:7" x14ac:dyDescent="0.2">
      <c r="A17" s="33" t="s">
        <v>84</v>
      </c>
      <c r="B17" s="36" t="s">
        <v>90</v>
      </c>
      <c r="C17" s="37">
        <v>0.19706138217229721</v>
      </c>
      <c r="D17" s="37">
        <v>1.7478496985916192</v>
      </c>
      <c r="E17" s="33"/>
      <c r="F17" s="33"/>
      <c r="G17" s="33"/>
    </row>
    <row r="18" spans="1:7" x14ac:dyDescent="0.2">
      <c r="A18" s="33" t="s">
        <v>84</v>
      </c>
      <c r="B18" s="36" t="s">
        <v>91</v>
      </c>
      <c r="C18" s="37">
        <v>0.19509073910015265</v>
      </c>
      <c r="D18" s="37">
        <v>1.8251093440761215</v>
      </c>
      <c r="E18" s="33"/>
      <c r="F18" s="33"/>
      <c r="G18" s="33"/>
    </row>
    <row r="19" spans="1:7" x14ac:dyDescent="0.2">
      <c r="A19" s="33" t="s">
        <v>84</v>
      </c>
      <c r="B19" s="36" t="s">
        <v>92</v>
      </c>
      <c r="C19" s="37">
        <v>9.2986276212386129E-2</v>
      </c>
      <c r="D19" s="37">
        <v>0.67820840985393727</v>
      </c>
      <c r="E19" s="33"/>
      <c r="F19" s="33"/>
      <c r="G19" s="33"/>
    </row>
  </sheetData>
  <mergeCells count="1">
    <mergeCell ref="B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E7976-90CC-CD45-A985-998E2C4ACFD1}">
  <dimension ref="A1:M22"/>
  <sheetViews>
    <sheetView zoomScale="110" workbookViewId="0">
      <selection activeCell="B20" sqref="B20:G22"/>
    </sheetView>
  </sheetViews>
  <sheetFormatPr baseColWidth="10" defaultRowHeight="16" x14ac:dyDescent="0.2"/>
  <cols>
    <col min="1" max="1" width="12.83203125" customWidth="1"/>
    <col min="9" max="9" width="9.1640625" customWidth="1"/>
    <col min="11" max="11" width="8.5" customWidth="1"/>
  </cols>
  <sheetData>
    <row r="1" spans="1:13" ht="17" thickBot="1" x14ac:dyDescent="0.25">
      <c r="A1" s="71" t="s">
        <v>40</v>
      </c>
      <c r="B1" s="71" t="s">
        <v>41</v>
      </c>
      <c r="C1" s="72" t="s">
        <v>42</v>
      </c>
      <c r="D1" s="72" t="s">
        <v>43</v>
      </c>
      <c r="E1" s="72" t="s">
        <v>44</v>
      </c>
      <c r="F1" s="72" t="s">
        <v>45</v>
      </c>
      <c r="G1" s="73" t="s">
        <v>46</v>
      </c>
      <c r="H1" s="72" t="s">
        <v>114</v>
      </c>
      <c r="I1" s="72" t="s">
        <v>115</v>
      </c>
      <c r="J1" s="72" t="s">
        <v>112</v>
      </c>
      <c r="K1" s="72" t="s">
        <v>115</v>
      </c>
      <c r="L1" s="72" t="s">
        <v>113</v>
      </c>
      <c r="M1" s="73" t="s">
        <v>115</v>
      </c>
    </row>
    <row r="2" spans="1:13" x14ac:dyDescent="0.2">
      <c r="A2" s="4" t="s">
        <v>47</v>
      </c>
      <c r="B2" s="74">
        <v>35</v>
      </c>
      <c r="C2" s="6">
        <v>9.15</v>
      </c>
      <c r="D2" s="6">
        <v>34.200000000000003</v>
      </c>
      <c r="E2" s="6">
        <v>11.52</v>
      </c>
      <c r="F2" s="6">
        <v>200</v>
      </c>
      <c r="G2" s="75">
        <v>52.1</v>
      </c>
      <c r="H2" s="65">
        <v>2.7</v>
      </c>
      <c r="I2" s="65">
        <v>4.03</v>
      </c>
      <c r="J2" s="65">
        <v>0.71</v>
      </c>
      <c r="K2" s="65">
        <v>3.82</v>
      </c>
      <c r="L2" s="65">
        <v>0.28999999999999998</v>
      </c>
      <c r="M2" s="66">
        <v>22.72</v>
      </c>
    </row>
    <row r="3" spans="1:13" x14ac:dyDescent="0.2">
      <c r="A3" s="4" t="s">
        <v>48</v>
      </c>
      <c r="B3" s="74">
        <v>34.799999999999997</v>
      </c>
      <c r="C3" s="6">
        <v>9.74</v>
      </c>
      <c r="D3" s="6">
        <v>34.6</v>
      </c>
      <c r="E3" s="6">
        <v>11.54</v>
      </c>
      <c r="F3" s="6">
        <v>200</v>
      </c>
      <c r="G3" s="75">
        <v>52.3</v>
      </c>
      <c r="H3" s="65">
        <v>1.35</v>
      </c>
      <c r="I3" s="65">
        <v>0.57999999999999996</v>
      </c>
      <c r="J3" s="65">
        <v>0.66</v>
      </c>
      <c r="K3" s="65">
        <v>1.58</v>
      </c>
      <c r="L3" s="65">
        <v>0.27</v>
      </c>
      <c r="M3" s="66">
        <v>18.489999999999998</v>
      </c>
    </row>
    <row r="4" spans="1:13" x14ac:dyDescent="0.2">
      <c r="A4" s="4" t="s">
        <v>49</v>
      </c>
      <c r="B4" s="74">
        <v>35.1</v>
      </c>
      <c r="C4" s="6">
        <v>8.7799999999999994</v>
      </c>
      <c r="D4" s="6">
        <v>34.6</v>
      </c>
      <c r="E4" s="6">
        <v>10.42</v>
      </c>
      <c r="F4" s="6">
        <v>182</v>
      </c>
      <c r="G4" s="75">
        <v>52.4</v>
      </c>
      <c r="H4" s="65">
        <v>0.91</v>
      </c>
      <c r="I4" s="65">
        <v>6.92</v>
      </c>
      <c r="J4" s="65">
        <v>0.67</v>
      </c>
      <c r="K4" s="65">
        <v>0.36</v>
      </c>
      <c r="L4" s="65">
        <v>0.19</v>
      </c>
      <c r="M4" s="66">
        <v>57.89</v>
      </c>
    </row>
    <row r="5" spans="1:13" ht="17" thickBot="1" x14ac:dyDescent="0.25">
      <c r="A5" s="69" t="s">
        <v>50</v>
      </c>
      <c r="B5" s="76">
        <v>35.799999999999997</v>
      </c>
      <c r="C5" s="70">
        <v>10.18</v>
      </c>
      <c r="D5" s="70">
        <v>34.5</v>
      </c>
      <c r="E5" s="70">
        <v>11.07</v>
      </c>
      <c r="F5" s="70">
        <v>189.9</v>
      </c>
      <c r="G5" s="77">
        <v>52.2</v>
      </c>
      <c r="H5" s="67">
        <v>1.24</v>
      </c>
      <c r="I5" s="67">
        <v>2.73</v>
      </c>
      <c r="J5" s="67">
        <v>0.67</v>
      </c>
      <c r="K5" s="67">
        <v>1.23</v>
      </c>
      <c r="L5" s="67">
        <v>0.18</v>
      </c>
      <c r="M5" s="68">
        <v>31.02</v>
      </c>
    </row>
    <row r="6" spans="1:13" x14ac:dyDescent="0.2">
      <c r="A6" s="2" t="s">
        <v>51</v>
      </c>
      <c r="B6" s="78">
        <v>28.6</v>
      </c>
      <c r="C6" s="5">
        <v>8.06</v>
      </c>
      <c r="D6" s="5">
        <v>34.1</v>
      </c>
      <c r="E6" s="5">
        <v>7.35</v>
      </c>
      <c r="F6" s="5">
        <v>115.3</v>
      </c>
      <c r="G6" s="79">
        <v>51.7</v>
      </c>
      <c r="H6" s="63">
        <v>1.59</v>
      </c>
      <c r="I6" s="63">
        <v>2.0499999999999998</v>
      </c>
      <c r="J6" s="63">
        <v>0.69</v>
      </c>
      <c r="K6" s="63">
        <v>0.48</v>
      </c>
      <c r="L6" s="63">
        <v>0.19</v>
      </c>
      <c r="M6" s="64">
        <v>35.74</v>
      </c>
    </row>
    <row r="7" spans="1:13" x14ac:dyDescent="0.2">
      <c r="A7" s="2" t="s">
        <v>52</v>
      </c>
      <c r="B7" s="78">
        <v>29.5</v>
      </c>
      <c r="C7" s="5">
        <v>8.14</v>
      </c>
      <c r="D7" s="5">
        <v>34.1</v>
      </c>
      <c r="E7" s="5">
        <v>8.32</v>
      </c>
      <c r="F7" s="5">
        <v>133</v>
      </c>
      <c r="G7" s="79">
        <v>51.8</v>
      </c>
      <c r="H7" s="65">
        <v>1.75</v>
      </c>
      <c r="I7" s="65">
        <v>2.5499999999999998</v>
      </c>
      <c r="J7" s="65">
        <v>0.69</v>
      </c>
      <c r="K7" s="65">
        <v>0.04</v>
      </c>
      <c r="L7" s="65">
        <v>0.27</v>
      </c>
      <c r="M7" s="66">
        <v>20.58</v>
      </c>
    </row>
    <row r="8" spans="1:13" x14ac:dyDescent="0.2">
      <c r="A8" s="2" t="s">
        <v>53</v>
      </c>
      <c r="B8" s="78">
        <v>29.7</v>
      </c>
      <c r="C8" s="5">
        <v>8.15</v>
      </c>
      <c r="D8" s="5">
        <v>34.6</v>
      </c>
      <c r="E8" s="5">
        <v>8.32</v>
      </c>
      <c r="F8" s="5">
        <v>133.19999999999999</v>
      </c>
      <c r="G8" s="79">
        <v>52.5</v>
      </c>
      <c r="H8" s="65">
        <v>0.9</v>
      </c>
      <c r="I8" s="65">
        <v>6.36</v>
      </c>
      <c r="J8" s="65">
        <v>0.68</v>
      </c>
      <c r="K8" s="65">
        <v>0.87</v>
      </c>
      <c r="L8" s="65">
        <v>0.24</v>
      </c>
      <c r="M8" s="66">
        <v>12.62</v>
      </c>
    </row>
    <row r="9" spans="1:13" ht="17" thickBot="1" x14ac:dyDescent="0.25">
      <c r="A9" s="2" t="s">
        <v>54</v>
      </c>
      <c r="B9" s="80">
        <v>29.7</v>
      </c>
      <c r="C9" s="81">
        <v>8.09</v>
      </c>
      <c r="D9" s="81">
        <v>34.1</v>
      </c>
      <c r="E9" s="81">
        <v>8.7799999999999994</v>
      </c>
      <c r="F9" s="81">
        <v>141</v>
      </c>
      <c r="G9" s="82">
        <v>51.8</v>
      </c>
      <c r="H9" s="65">
        <v>0.97</v>
      </c>
      <c r="I9" s="65">
        <v>11.97</v>
      </c>
      <c r="J9" s="65">
        <v>0.69</v>
      </c>
      <c r="K9" s="65">
        <v>0.98</v>
      </c>
      <c r="L9" s="65">
        <v>0.28999999999999998</v>
      </c>
      <c r="M9" s="66">
        <v>32.520000000000003</v>
      </c>
    </row>
    <row r="12" spans="1:13" x14ac:dyDescent="0.2">
      <c r="I12" s="32">
        <f>AVERAGE(I2:I9)</f>
        <v>4.6487500000000006</v>
      </c>
      <c r="K12" s="32">
        <f>AVERAGE(K2:K9)</f>
        <v>1.1700000000000002</v>
      </c>
      <c r="M12" s="32">
        <f>AVERAGE(M2:M9)</f>
        <v>28.947500000000002</v>
      </c>
    </row>
    <row r="13" spans="1:13" x14ac:dyDescent="0.2">
      <c r="B13" s="30" t="s">
        <v>55</v>
      </c>
      <c r="D13" s="30" t="s">
        <v>67</v>
      </c>
      <c r="E13" s="30" t="s">
        <v>56</v>
      </c>
      <c r="G13" s="30" t="s">
        <v>67</v>
      </c>
    </row>
    <row r="14" spans="1:13" x14ac:dyDescent="0.2">
      <c r="A14" s="30" t="s">
        <v>119</v>
      </c>
      <c r="B14" s="31">
        <f>AVERAGE(B6:B9)</f>
        <v>29.375</v>
      </c>
      <c r="C14">
        <v>4</v>
      </c>
      <c r="D14" s="31">
        <f>STDEV(B6:B9)</f>
        <v>0.52519837521962331</v>
      </c>
      <c r="E14" s="31">
        <f>AVERAGE(B2:B5)</f>
        <v>35.174999999999997</v>
      </c>
      <c r="F14">
        <v>4</v>
      </c>
      <c r="G14" s="31">
        <f>STDEV(B2:B5)</f>
        <v>0.43493294502332902</v>
      </c>
    </row>
    <row r="15" spans="1:13" x14ac:dyDescent="0.2">
      <c r="A15" s="30" t="s">
        <v>42</v>
      </c>
      <c r="B15" s="31">
        <f>AVERAGE(C6:C9)</f>
        <v>8.11</v>
      </c>
      <c r="C15">
        <v>4</v>
      </c>
      <c r="D15" s="31">
        <f>STDEV(C6:C9)</f>
        <v>4.2426406871192923E-2</v>
      </c>
      <c r="E15" s="31">
        <f>AVERAGE(C2:C5)</f>
        <v>9.4625000000000004</v>
      </c>
      <c r="F15">
        <v>4</v>
      </c>
      <c r="G15" s="31">
        <f>STDEV(C2:C5)</f>
        <v>0.62055754500825044</v>
      </c>
    </row>
    <row r="16" spans="1:13" x14ac:dyDescent="0.2">
      <c r="A16" s="30" t="s">
        <v>43</v>
      </c>
      <c r="B16" s="31">
        <f>AVERAGE(D6:D9)</f>
        <v>34.225000000000001</v>
      </c>
      <c r="C16">
        <v>4</v>
      </c>
      <c r="D16" s="31">
        <f>STDEV(D6:D9)</f>
        <v>0.25</v>
      </c>
      <c r="E16" s="31">
        <f>AVERAGE(D2:D5)</f>
        <v>34.475000000000001</v>
      </c>
      <c r="F16">
        <v>4</v>
      </c>
      <c r="G16" s="31">
        <f>STDEV(D2:D5)</f>
        <v>0.18929694486000836</v>
      </c>
    </row>
    <row r="17" spans="1:7" x14ac:dyDescent="0.2">
      <c r="A17" s="30" t="s">
        <v>44</v>
      </c>
      <c r="B17" s="31">
        <f>AVERAGE(E6:E9)</f>
        <v>8.1925000000000008</v>
      </c>
      <c r="C17">
        <v>4</v>
      </c>
      <c r="D17" s="31">
        <f>STDEV(E6:E9)</f>
        <v>0.60207280844318711</v>
      </c>
      <c r="E17" s="31">
        <f>AVERAGE(E2:E5)</f>
        <v>11.137499999999999</v>
      </c>
      <c r="F17">
        <v>4</v>
      </c>
      <c r="G17" s="31">
        <f>STDEV(E2:E5)</f>
        <v>0.52525390685521456</v>
      </c>
    </row>
    <row r="18" spans="1:7" x14ac:dyDescent="0.2">
      <c r="A18" s="30" t="s">
        <v>45</v>
      </c>
      <c r="B18" s="31">
        <f>AVERAGE(F6:F9)</f>
        <v>130.625</v>
      </c>
      <c r="C18">
        <v>4</v>
      </c>
      <c r="D18" s="31">
        <f>STDEV(F6:F9)</f>
        <v>10.87454979911046</v>
      </c>
      <c r="E18" s="31">
        <f>AVERAGE(F2:F5)</f>
        <v>192.97499999999999</v>
      </c>
      <c r="F18">
        <v>4</v>
      </c>
      <c r="G18" s="31">
        <f>STDEV(F2:F5)</f>
        <v>8.7294043324845472</v>
      </c>
    </row>
    <row r="19" spans="1:7" ht="17" thickBot="1" x14ac:dyDescent="0.25">
      <c r="A19" s="30" t="s">
        <v>46</v>
      </c>
      <c r="B19" s="31">
        <f>AVERAGE(G6:G9)</f>
        <v>51.95</v>
      </c>
      <c r="C19">
        <v>4</v>
      </c>
      <c r="D19" s="31">
        <f>STDEV(G6:G9)</f>
        <v>0.36968455021364738</v>
      </c>
      <c r="E19" s="31">
        <f>AVERAGE(G2:G5)</f>
        <v>52.25</v>
      </c>
      <c r="F19">
        <v>4</v>
      </c>
      <c r="G19" s="31">
        <f>STDEV(G2:G5)</f>
        <v>0.12909944487357874</v>
      </c>
    </row>
    <row r="20" spans="1:7" ht="17" thickBot="1" x14ac:dyDescent="0.25">
      <c r="A20" s="72" t="s">
        <v>116</v>
      </c>
      <c r="B20" s="31">
        <f>AVERAGE(H6:H9)</f>
        <v>1.3025</v>
      </c>
      <c r="C20">
        <v>4</v>
      </c>
      <c r="D20" s="31">
        <f>STDEV(H6:H9)</f>
        <v>0.43030028274837767</v>
      </c>
      <c r="E20" s="31">
        <f>AVERAGE(H2:H5)</f>
        <v>1.5500000000000003</v>
      </c>
      <c r="F20">
        <v>4</v>
      </c>
      <c r="G20" s="31">
        <f>STDEV(H2:H5)</f>
        <v>0.78913454704082764</v>
      </c>
    </row>
    <row r="21" spans="1:7" ht="17" thickBot="1" x14ac:dyDescent="0.25">
      <c r="A21" s="72" t="s">
        <v>117</v>
      </c>
      <c r="B21" s="31">
        <f>AVERAGE(J6:J9)</f>
        <v>0.6875</v>
      </c>
      <c r="C21">
        <v>4</v>
      </c>
      <c r="D21" s="31">
        <f>STDEV(J6:J9)</f>
        <v>4.9999999999999489E-3</v>
      </c>
      <c r="E21" s="31">
        <f>AVERAGE(J2:J5)</f>
        <v>0.67749999999999999</v>
      </c>
      <c r="F21">
        <v>4</v>
      </c>
      <c r="G21" s="31">
        <f>STDEV(J2:J5)</f>
        <v>2.2173557826083417E-2</v>
      </c>
    </row>
    <row r="22" spans="1:7" ht="17" thickBot="1" x14ac:dyDescent="0.25">
      <c r="A22" s="72" t="s">
        <v>118</v>
      </c>
      <c r="B22" s="31">
        <f>AVERAGE(L6:L9)</f>
        <v>0.2475</v>
      </c>
      <c r="C22">
        <v>4</v>
      </c>
      <c r="D22" s="31">
        <f>STDEV(L6:L9)</f>
        <v>4.3493294502333121E-2</v>
      </c>
      <c r="E22" s="31">
        <f>AVERAGE(L2:L5)</f>
        <v>0.23249999999999998</v>
      </c>
      <c r="F22">
        <v>4</v>
      </c>
      <c r="G22" s="31">
        <f>STDEV(L2:L5)</f>
        <v>5.560275772537427E-2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84C58-4AFE-2545-AACF-C7B034A00346}">
  <dimension ref="A3:AT104"/>
  <sheetViews>
    <sheetView tabSelected="1" zoomScale="80" zoomScaleNormal="80" workbookViewId="0">
      <selection activeCell="X24" sqref="X24"/>
    </sheetView>
  </sheetViews>
  <sheetFormatPr baseColWidth="10" defaultRowHeight="16" x14ac:dyDescent="0.2"/>
  <sheetData>
    <row r="3" spans="1:46" x14ac:dyDescent="0.2">
      <c r="A3" s="8"/>
      <c r="B3" s="9"/>
      <c r="C3" s="9"/>
      <c r="D3" s="113" t="s">
        <v>0</v>
      </c>
      <c r="E3" s="113"/>
      <c r="F3" s="114"/>
      <c r="G3" s="115" t="s">
        <v>8</v>
      </c>
      <c r="H3" s="113"/>
      <c r="I3" s="113"/>
      <c r="J3" s="111"/>
      <c r="K3" s="111"/>
      <c r="L3" s="111"/>
      <c r="M3" s="111"/>
      <c r="N3" s="111"/>
      <c r="O3" s="111"/>
      <c r="P3" s="111"/>
      <c r="Q3" s="111"/>
      <c r="R3" s="111"/>
      <c r="S3" s="111" t="s">
        <v>12</v>
      </c>
      <c r="T3" s="111"/>
      <c r="U3" s="111"/>
      <c r="V3" s="111"/>
      <c r="W3" s="111"/>
      <c r="X3" s="111"/>
      <c r="Y3" s="111"/>
      <c r="Z3" s="111"/>
      <c r="AA3" s="112"/>
    </row>
    <row r="4" spans="1:46" ht="68" x14ac:dyDescent="0.2">
      <c r="A4" s="16" t="s">
        <v>1</v>
      </c>
      <c r="B4" s="17" t="s">
        <v>36</v>
      </c>
      <c r="C4" s="18" t="s">
        <v>2</v>
      </c>
      <c r="D4" s="17" t="s">
        <v>3</v>
      </c>
      <c r="E4" s="17" t="s">
        <v>4</v>
      </c>
      <c r="F4" s="19" t="s">
        <v>5</v>
      </c>
      <c r="G4" s="20" t="s">
        <v>37</v>
      </c>
      <c r="H4" s="20" t="s">
        <v>38</v>
      </c>
      <c r="I4" s="20" t="s">
        <v>39</v>
      </c>
      <c r="J4" s="17" t="s">
        <v>130</v>
      </c>
      <c r="K4" s="17" t="s">
        <v>131</v>
      </c>
      <c r="L4" s="17" t="s">
        <v>132</v>
      </c>
      <c r="M4" s="17" t="s">
        <v>138</v>
      </c>
      <c r="N4" s="17" t="s">
        <v>139</v>
      </c>
      <c r="O4" s="17" t="s">
        <v>140</v>
      </c>
      <c r="P4" s="17" t="s">
        <v>141</v>
      </c>
      <c r="Q4" s="17" t="s">
        <v>152</v>
      </c>
      <c r="R4" s="19" t="s">
        <v>142</v>
      </c>
      <c r="S4" s="17" t="s">
        <v>143</v>
      </c>
      <c r="T4" s="17" t="s">
        <v>144</v>
      </c>
      <c r="U4" s="17" t="s">
        <v>145</v>
      </c>
      <c r="V4" s="17" t="s">
        <v>146</v>
      </c>
      <c r="W4" s="17" t="s">
        <v>147</v>
      </c>
      <c r="X4" s="17" t="s">
        <v>148</v>
      </c>
      <c r="Y4" s="17" t="s">
        <v>149</v>
      </c>
      <c r="Z4" s="17" t="s">
        <v>150</v>
      </c>
      <c r="AA4" s="21" t="s">
        <v>151</v>
      </c>
      <c r="AC4" s="30" t="s">
        <v>154</v>
      </c>
      <c r="AD4" s="95" t="s">
        <v>2</v>
      </c>
      <c r="AE4" s="30" t="s">
        <v>153</v>
      </c>
      <c r="AF4" s="17" t="s">
        <v>3</v>
      </c>
      <c r="AG4" s="17" t="s">
        <v>4</v>
      </c>
      <c r="AH4" s="19" t="s">
        <v>5</v>
      </c>
      <c r="AI4" s="20" t="s">
        <v>37</v>
      </c>
      <c r="AJ4" s="20" t="s">
        <v>38</v>
      </c>
      <c r="AK4" s="20" t="s">
        <v>39</v>
      </c>
      <c r="AL4" s="17" t="s">
        <v>6</v>
      </c>
      <c r="AM4" s="17" t="s">
        <v>7</v>
      </c>
      <c r="AN4" s="17" t="s">
        <v>33</v>
      </c>
      <c r="AO4" s="17" t="s">
        <v>34</v>
      </c>
      <c r="AP4" s="17" t="s">
        <v>35</v>
      </c>
      <c r="AQ4" s="17" t="s">
        <v>129</v>
      </c>
      <c r="AR4" s="17" t="s">
        <v>9</v>
      </c>
      <c r="AS4" s="17" t="s">
        <v>159</v>
      </c>
      <c r="AT4" s="19" t="s">
        <v>11</v>
      </c>
    </row>
    <row r="5" spans="1:46" x14ac:dyDescent="0.2">
      <c r="A5" s="22">
        <v>35</v>
      </c>
      <c r="B5" s="12">
        <v>1</v>
      </c>
      <c r="C5" s="12" t="s">
        <v>14</v>
      </c>
      <c r="D5" s="12">
        <v>0.55000000000000004</v>
      </c>
      <c r="E5" s="12">
        <v>0.53</v>
      </c>
      <c r="F5" s="23">
        <v>1</v>
      </c>
      <c r="G5" s="12">
        <v>60</v>
      </c>
      <c r="H5" s="12">
        <v>40</v>
      </c>
      <c r="I5" s="12">
        <v>0</v>
      </c>
      <c r="J5" s="22">
        <v>60</v>
      </c>
      <c r="K5" s="12">
        <v>30</v>
      </c>
      <c r="L5" s="12">
        <v>0</v>
      </c>
      <c r="M5" s="12">
        <v>10</v>
      </c>
      <c r="N5" s="12">
        <v>0</v>
      </c>
      <c r="O5" s="12">
        <v>60</v>
      </c>
      <c r="P5" s="12">
        <f>AVERAGE(13,14,19,19,20,22,10,13,23,22,18,13,16,16,15,19,13,21,21,19)</f>
        <v>17.3</v>
      </c>
      <c r="Q5" s="13">
        <v>4</v>
      </c>
      <c r="R5" s="23">
        <v>5</v>
      </c>
      <c r="S5" s="12">
        <v>60</v>
      </c>
      <c r="T5" s="12">
        <v>20</v>
      </c>
      <c r="U5" s="12">
        <v>0</v>
      </c>
      <c r="V5" s="12">
        <v>10</v>
      </c>
      <c r="W5" s="12">
        <v>10</v>
      </c>
      <c r="X5" s="12">
        <v>70</v>
      </c>
      <c r="Y5" s="12">
        <f>(14+17+23+18+12+17+13+16+14+13+17+18+19+22+21+15+18+17+20+23)/20</f>
        <v>17.350000000000001</v>
      </c>
      <c r="Z5" s="13">
        <v>4</v>
      </c>
      <c r="AA5" s="23">
        <v>5</v>
      </c>
      <c r="AC5" s="12">
        <v>1</v>
      </c>
      <c r="AD5" s="12" t="s">
        <v>14</v>
      </c>
      <c r="AE5" t="s">
        <v>155</v>
      </c>
      <c r="AF5" s="12">
        <v>0.55000000000000004</v>
      </c>
      <c r="AG5" s="12">
        <v>0.53</v>
      </c>
      <c r="AH5" s="23">
        <v>1</v>
      </c>
      <c r="AI5" s="12">
        <v>60</v>
      </c>
      <c r="AJ5" s="12">
        <v>40</v>
      </c>
      <c r="AK5" s="12">
        <v>0</v>
      </c>
      <c r="AL5" s="22">
        <v>60</v>
      </c>
      <c r="AM5" s="12">
        <v>30</v>
      </c>
      <c r="AN5" s="12">
        <v>0</v>
      </c>
      <c r="AO5" s="12">
        <v>10</v>
      </c>
      <c r="AP5" s="12">
        <v>0</v>
      </c>
      <c r="AQ5" s="12">
        <v>60</v>
      </c>
      <c r="AR5" s="12">
        <f>AVERAGE(13,14,19,19,20,22,10,13,23,22,18,13,16,16,15,19,13,21,21,19)</f>
        <v>17.3</v>
      </c>
      <c r="AS5" s="13">
        <v>4</v>
      </c>
      <c r="AT5" s="23">
        <v>5</v>
      </c>
    </row>
    <row r="6" spans="1:46" x14ac:dyDescent="0.2">
      <c r="A6" s="22">
        <v>36</v>
      </c>
      <c r="B6" s="12">
        <v>1</v>
      </c>
      <c r="C6" s="12" t="s">
        <v>157</v>
      </c>
      <c r="D6" s="12">
        <v>0.66</v>
      </c>
      <c r="E6" s="12">
        <v>0.38</v>
      </c>
      <c r="F6" s="23">
        <v>1</v>
      </c>
      <c r="G6" s="12">
        <v>80</v>
      </c>
      <c r="H6" s="12">
        <v>20</v>
      </c>
      <c r="I6" s="12">
        <v>0</v>
      </c>
      <c r="J6" s="22">
        <v>80</v>
      </c>
      <c r="K6" s="12">
        <v>15</v>
      </c>
      <c r="L6" s="12">
        <v>0</v>
      </c>
      <c r="M6" s="12">
        <v>5</v>
      </c>
      <c r="N6" s="12">
        <v>0</v>
      </c>
      <c r="O6" s="12">
        <v>60</v>
      </c>
      <c r="P6" s="12">
        <f>AVERAGE(27,18,17,24,28,25,25,20,19,18,30,28,29,18,15,22,22,24,23,27)</f>
        <v>22.95</v>
      </c>
      <c r="Q6" s="13">
        <v>3</v>
      </c>
      <c r="R6" s="23">
        <v>5</v>
      </c>
      <c r="S6" s="12">
        <v>70</v>
      </c>
      <c r="T6" s="12">
        <v>5</v>
      </c>
      <c r="U6" s="12">
        <v>0</v>
      </c>
      <c r="V6" s="12">
        <v>15</v>
      </c>
      <c r="W6" s="12">
        <v>10</v>
      </c>
      <c r="X6" s="12">
        <v>60</v>
      </c>
      <c r="Y6" s="12">
        <f>AVERAGE(23,28,17,24,25,26,19,20,20,28,18,27,19,22,23,20,24,23,17,26)</f>
        <v>22.45</v>
      </c>
      <c r="Z6" s="13">
        <v>4</v>
      </c>
      <c r="AA6" s="23">
        <v>0</v>
      </c>
      <c r="AC6" s="12">
        <v>1</v>
      </c>
      <c r="AD6" s="12" t="s">
        <v>157</v>
      </c>
      <c r="AE6" t="s">
        <v>155</v>
      </c>
      <c r="AF6" s="12">
        <v>0.66</v>
      </c>
      <c r="AG6" s="12">
        <v>0.38</v>
      </c>
      <c r="AH6" s="23">
        <v>1</v>
      </c>
      <c r="AI6" s="12">
        <v>80</v>
      </c>
      <c r="AJ6" s="12">
        <v>20</v>
      </c>
      <c r="AK6" s="12">
        <v>0</v>
      </c>
      <c r="AL6" s="22">
        <v>80</v>
      </c>
      <c r="AM6" s="12">
        <v>15</v>
      </c>
      <c r="AN6" s="12">
        <v>0</v>
      </c>
      <c r="AO6" s="12">
        <v>5</v>
      </c>
      <c r="AP6" s="12">
        <v>0</v>
      </c>
      <c r="AQ6" s="12">
        <v>60</v>
      </c>
      <c r="AR6" s="12">
        <f>AVERAGE(27,18,17,24,28,25,25,20,19,18,30,28,29,18,15,22,22,24,23,27)</f>
        <v>22.95</v>
      </c>
      <c r="AS6" s="13">
        <v>3</v>
      </c>
      <c r="AT6" s="23">
        <v>5</v>
      </c>
    </row>
    <row r="7" spans="1:46" x14ac:dyDescent="0.2">
      <c r="A7" s="22">
        <v>37</v>
      </c>
      <c r="B7" s="12">
        <v>1</v>
      </c>
      <c r="C7" s="12" t="s">
        <v>158</v>
      </c>
      <c r="D7" s="12">
        <v>0.55000000000000004</v>
      </c>
      <c r="E7" s="12">
        <v>0.62</v>
      </c>
      <c r="F7" s="23">
        <v>1</v>
      </c>
      <c r="G7" s="12">
        <v>65</v>
      </c>
      <c r="H7" s="12">
        <v>35</v>
      </c>
      <c r="I7" s="12">
        <v>0</v>
      </c>
      <c r="J7" s="22">
        <v>60</v>
      </c>
      <c r="K7" s="12">
        <v>20</v>
      </c>
      <c r="L7" s="12">
        <v>10</v>
      </c>
      <c r="M7" s="12">
        <v>10</v>
      </c>
      <c r="N7" s="12">
        <v>0</v>
      </c>
      <c r="O7" s="12">
        <v>30</v>
      </c>
      <c r="P7" s="12">
        <f>AVERAGE(24,24,26,21,28,27,25,28,20,20,21,27,29,27.5,25,24,23,23,21,26)</f>
        <v>24.475000000000001</v>
      </c>
      <c r="Q7" s="13">
        <v>3</v>
      </c>
      <c r="R7" s="23">
        <v>5</v>
      </c>
      <c r="S7" s="12">
        <v>70</v>
      </c>
      <c r="T7" s="12">
        <v>5</v>
      </c>
      <c r="U7" s="12">
        <v>0</v>
      </c>
      <c r="V7" s="12">
        <v>15</v>
      </c>
      <c r="W7" s="12">
        <v>10</v>
      </c>
      <c r="X7" s="12">
        <v>37</v>
      </c>
      <c r="Y7" s="12">
        <f>AVERAGE(24,24,21,29,21,26,25.5,28,27,29,30,25,22,24,20,25,20,28,26)</f>
        <v>24.973684210526315</v>
      </c>
      <c r="Z7" s="13">
        <v>4</v>
      </c>
      <c r="AA7" s="23">
        <v>10</v>
      </c>
      <c r="AC7" s="12">
        <v>1</v>
      </c>
      <c r="AD7" s="12" t="s">
        <v>158</v>
      </c>
      <c r="AE7" t="s">
        <v>155</v>
      </c>
      <c r="AF7" s="12">
        <v>0.55000000000000004</v>
      </c>
      <c r="AG7" s="12">
        <v>0.62</v>
      </c>
      <c r="AH7" s="23">
        <v>1</v>
      </c>
      <c r="AI7" s="12">
        <v>65</v>
      </c>
      <c r="AJ7" s="12">
        <v>35</v>
      </c>
      <c r="AK7" s="12">
        <v>0</v>
      </c>
      <c r="AL7" s="22">
        <v>60</v>
      </c>
      <c r="AM7" s="12">
        <v>20</v>
      </c>
      <c r="AN7" s="12">
        <v>10</v>
      </c>
      <c r="AO7" s="12">
        <v>10</v>
      </c>
      <c r="AP7" s="12">
        <v>0</v>
      </c>
      <c r="AQ7" s="12">
        <v>30</v>
      </c>
      <c r="AR7" s="12">
        <f>AVERAGE(24,24,26,21,28,27,25,28,20,20,21,27,29,27.5,25,24,23,23,21,26)</f>
        <v>24.475000000000001</v>
      </c>
      <c r="AS7" s="13">
        <v>3</v>
      </c>
      <c r="AT7" s="23">
        <v>5</v>
      </c>
    </row>
    <row r="8" spans="1:46" x14ac:dyDescent="0.2">
      <c r="A8" s="22">
        <v>38</v>
      </c>
      <c r="B8" s="12">
        <v>1</v>
      </c>
      <c r="C8" s="12" t="s">
        <v>14</v>
      </c>
      <c r="D8" s="12">
        <v>0.56000000000000005</v>
      </c>
      <c r="E8" s="12">
        <v>0.52</v>
      </c>
      <c r="F8" s="23">
        <v>1</v>
      </c>
      <c r="G8" s="12">
        <v>75</v>
      </c>
      <c r="H8" s="12">
        <v>25</v>
      </c>
      <c r="I8" s="12">
        <v>0</v>
      </c>
      <c r="J8" s="22">
        <v>75</v>
      </c>
      <c r="K8" s="12">
        <v>15</v>
      </c>
      <c r="L8" s="12">
        <v>5</v>
      </c>
      <c r="M8" s="12">
        <v>5</v>
      </c>
      <c r="N8" s="12">
        <v>0</v>
      </c>
      <c r="O8" s="12">
        <v>50</v>
      </c>
      <c r="P8" s="12">
        <f>AVERAGE(25,22,24,20,24,28,27,23,22,30,28,29,21,20,23,23,20,21,27,26)</f>
        <v>24.15</v>
      </c>
      <c r="Q8" s="13">
        <v>4</v>
      </c>
      <c r="R8" s="23">
        <v>5</v>
      </c>
      <c r="S8" s="12">
        <v>75</v>
      </c>
      <c r="T8" s="12">
        <v>10</v>
      </c>
      <c r="U8" s="12">
        <v>0</v>
      </c>
      <c r="V8" s="12">
        <v>10</v>
      </c>
      <c r="W8" s="12">
        <v>5</v>
      </c>
      <c r="X8" s="12">
        <v>80</v>
      </c>
      <c r="Y8" s="12">
        <f>AVERAGE(22,28,26,25,26.5,22,20,28,21,22,27,24,23,24,20,29,23,23,28,21)</f>
        <v>24.125</v>
      </c>
      <c r="Z8" s="13">
        <v>4</v>
      </c>
      <c r="AA8" s="23">
        <v>5</v>
      </c>
      <c r="AC8" s="12">
        <v>1</v>
      </c>
      <c r="AD8" s="12" t="s">
        <v>14</v>
      </c>
      <c r="AE8" t="s">
        <v>155</v>
      </c>
      <c r="AF8" s="12">
        <v>0.56000000000000005</v>
      </c>
      <c r="AG8" s="12">
        <v>0.52</v>
      </c>
      <c r="AH8" s="23">
        <v>1</v>
      </c>
      <c r="AI8" s="12">
        <v>75</v>
      </c>
      <c r="AJ8" s="12">
        <v>25</v>
      </c>
      <c r="AK8" s="12">
        <v>0</v>
      </c>
      <c r="AL8" s="22">
        <v>75</v>
      </c>
      <c r="AM8" s="12">
        <v>15</v>
      </c>
      <c r="AN8" s="12">
        <v>5</v>
      </c>
      <c r="AO8" s="12">
        <v>5</v>
      </c>
      <c r="AP8" s="12">
        <v>0</v>
      </c>
      <c r="AQ8" s="12">
        <v>50</v>
      </c>
      <c r="AR8" s="12">
        <f>AVERAGE(25,22,24,20,24,28,27,23,22,30,28,29,21,20,23,23,20,21,27,26)</f>
        <v>24.15</v>
      </c>
      <c r="AS8" s="13">
        <v>4</v>
      </c>
      <c r="AT8" s="23">
        <v>5</v>
      </c>
    </row>
    <row r="9" spans="1:46" x14ac:dyDescent="0.2">
      <c r="A9" s="22">
        <v>39</v>
      </c>
      <c r="B9" s="12">
        <v>1</v>
      </c>
      <c r="C9" s="12" t="s">
        <v>157</v>
      </c>
      <c r="D9" s="12">
        <v>0.53</v>
      </c>
      <c r="E9" s="12">
        <v>0.66</v>
      </c>
      <c r="F9" s="23">
        <v>1</v>
      </c>
      <c r="G9" s="12">
        <v>60</v>
      </c>
      <c r="H9" s="12">
        <v>40</v>
      </c>
      <c r="I9" s="12">
        <v>0</v>
      </c>
      <c r="J9" s="22">
        <v>80</v>
      </c>
      <c r="K9" s="12">
        <v>10</v>
      </c>
      <c r="L9" s="12">
        <v>0</v>
      </c>
      <c r="M9" s="12">
        <v>5</v>
      </c>
      <c r="N9" s="12">
        <v>5</v>
      </c>
      <c r="O9" s="12">
        <v>40</v>
      </c>
      <c r="P9" s="12">
        <f>AVERAGE(23,22,23,27,28,21,27,26,25,24,24,27,22,21,20,27,30,24,22,25)</f>
        <v>24.4</v>
      </c>
      <c r="Q9" s="13">
        <v>4</v>
      </c>
      <c r="R9" s="23">
        <v>5</v>
      </c>
      <c r="S9" s="12">
        <v>70</v>
      </c>
      <c r="T9" s="12">
        <v>10</v>
      </c>
      <c r="U9" s="12">
        <v>0</v>
      </c>
      <c r="V9" s="12">
        <v>20</v>
      </c>
      <c r="W9" s="12">
        <v>0</v>
      </c>
      <c r="X9" s="12">
        <v>50</v>
      </c>
      <c r="Y9" s="12">
        <f>AVERAGE(27,21,23,29,28,25,25,22,24,27,24,26.5,21,20,22,26,29,28,23,21)</f>
        <v>24.574999999999999</v>
      </c>
      <c r="Z9" s="13">
        <v>5</v>
      </c>
      <c r="AA9" s="23">
        <v>10</v>
      </c>
      <c r="AC9" s="12">
        <v>1</v>
      </c>
      <c r="AD9" s="12" t="s">
        <v>157</v>
      </c>
      <c r="AE9" t="s">
        <v>155</v>
      </c>
      <c r="AF9" s="12">
        <v>0.53</v>
      </c>
      <c r="AG9" s="12">
        <v>0.66</v>
      </c>
      <c r="AH9" s="23">
        <v>1</v>
      </c>
      <c r="AI9" s="12">
        <v>60</v>
      </c>
      <c r="AJ9" s="12">
        <v>40</v>
      </c>
      <c r="AK9" s="12">
        <v>0</v>
      </c>
      <c r="AL9" s="22">
        <v>80</v>
      </c>
      <c r="AM9" s="12">
        <v>10</v>
      </c>
      <c r="AN9" s="12">
        <v>0</v>
      </c>
      <c r="AO9" s="12">
        <v>5</v>
      </c>
      <c r="AP9" s="12">
        <v>5</v>
      </c>
      <c r="AQ9" s="12">
        <v>40</v>
      </c>
      <c r="AR9" s="12">
        <f>AVERAGE(23,22,23,27,28,21,27,26,25,24,24,27,22,21,20,27,30,24,22,25)</f>
        <v>24.4</v>
      </c>
      <c r="AS9" s="13">
        <v>4</v>
      </c>
      <c r="AT9" s="23">
        <v>5</v>
      </c>
    </row>
    <row r="10" spans="1:46" x14ac:dyDescent="0.2">
      <c r="A10" s="22">
        <v>40</v>
      </c>
      <c r="B10" s="12">
        <v>1</v>
      </c>
      <c r="C10" s="12" t="s">
        <v>134</v>
      </c>
      <c r="D10" s="12">
        <v>0.48</v>
      </c>
      <c r="E10" s="12">
        <v>0.64</v>
      </c>
      <c r="F10" s="23">
        <v>1</v>
      </c>
      <c r="G10" s="12">
        <v>20</v>
      </c>
      <c r="H10" s="12">
        <v>80</v>
      </c>
      <c r="I10" s="12">
        <v>0</v>
      </c>
      <c r="J10" s="22">
        <v>80</v>
      </c>
      <c r="K10" s="12">
        <v>18</v>
      </c>
      <c r="L10" s="12">
        <v>0</v>
      </c>
      <c r="M10" s="12">
        <v>2</v>
      </c>
      <c r="N10" s="12">
        <v>0</v>
      </c>
      <c r="O10" s="12">
        <v>40</v>
      </c>
      <c r="P10" s="12">
        <f>AVERAGE(21,20,20,25,23,23,24,21,28,27,20,20,21,24,23,25,26,22,23,20)</f>
        <v>22.8</v>
      </c>
      <c r="Q10" s="13">
        <v>4</v>
      </c>
      <c r="R10" s="23">
        <v>0</v>
      </c>
      <c r="S10" s="12">
        <v>80</v>
      </c>
      <c r="T10" s="12">
        <v>10</v>
      </c>
      <c r="U10" s="12">
        <v>0</v>
      </c>
      <c r="V10" s="12">
        <v>0</v>
      </c>
      <c r="W10" s="12">
        <v>10</v>
      </c>
      <c r="X10" s="12">
        <v>40</v>
      </c>
      <c r="Y10" s="12">
        <f>AVERAGE(24,22,20,22.5,26,26,24,23,21,20,21,24,27,26,23,23,28,25,24)</f>
        <v>23.657894736842106</v>
      </c>
      <c r="Z10" s="13">
        <v>5</v>
      </c>
      <c r="AA10" s="23">
        <v>7</v>
      </c>
      <c r="AC10" s="12">
        <v>1</v>
      </c>
      <c r="AD10" s="12" t="s">
        <v>134</v>
      </c>
      <c r="AE10" t="s">
        <v>155</v>
      </c>
      <c r="AF10" s="12">
        <v>0.48</v>
      </c>
      <c r="AG10" s="12">
        <v>0.64</v>
      </c>
      <c r="AH10" s="23">
        <v>1</v>
      </c>
      <c r="AI10" s="12">
        <v>20</v>
      </c>
      <c r="AJ10" s="12">
        <v>80</v>
      </c>
      <c r="AK10" s="12">
        <v>0</v>
      </c>
      <c r="AL10" s="22">
        <v>80</v>
      </c>
      <c r="AM10" s="12">
        <v>18</v>
      </c>
      <c r="AN10" s="12">
        <v>0</v>
      </c>
      <c r="AO10" s="12">
        <v>2</v>
      </c>
      <c r="AP10" s="12">
        <v>0</v>
      </c>
      <c r="AQ10" s="12">
        <v>40</v>
      </c>
      <c r="AR10" s="12">
        <f>AVERAGE(21,20,20,25,23,23,24,21,28,27,20,20,21,24,23,25,26,22,23,20)</f>
        <v>22.8</v>
      </c>
      <c r="AS10" s="13">
        <v>4</v>
      </c>
      <c r="AT10" s="23">
        <v>0</v>
      </c>
    </row>
    <row r="11" spans="1:46" x14ac:dyDescent="0.2">
      <c r="A11" s="22">
        <v>41</v>
      </c>
      <c r="B11" s="12">
        <v>1</v>
      </c>
      <c r="C11" s="12" t="s">
        <v>134</v>
      </c>
      <c r="D11" s="12">
        <v>0.47</v>
      </c>
      <c r="E11" s="12">
        <v>0.33</v>
      </c>
      <c r="F11" s="23">
        <v>1</v>
      </c>
      <c r="G11" s="12">
        <v>90</v>
      </c>
      <c r="H11" s="12">
        <v>10</v>
      </c>
      <c r="I11" s="12">
        <v>0</v>
      </c>
      <c r="J11" s="22">
        <v>85</v>
      </c>
      <c r="K11" s="12">
        <v>7.5</v>
      </c>
      <c r="L11" s="12">
        <v>0</v>
      </c>
      <c r="M11" s="12">
        <v>7.5</v>
      </c>
      <c r="N11" s="12">
        <v>0</v>
      </c>
      <c r="O11" s="12">
        <v>25</v>
      </c>
      <c r="P11" s="12">
        <f>AVERAGE(20,14,18,18,20,21,22,23,21,20,19,18,25,20,21,19,18,20,21,23)</f>
        <v>20.05</v>
      </c>
      <c r="Q11" s="13">
        <v>4</v>
      </c>
      <c r="R11" s="23">
        <v>5</v>
      </c>
      <c r="S11" s="12">
        <v>70</v>
      </c>
      <c r="T11" s="12">
        <v>15</v>
      </c>
      <c r="U11" s="12">
        <v>0</v>
      </c>
      <c r="V11" s="12">
        <v>15</v>
      </c>
      <c r="W11" s="12">
        <v>0</v>
      </c>
      <c r="X11" s="12">
        <v>30</v>
      </c>
      <c r="Y11" s="12">
        <f>AVERAGE(18,21,24,20,22,19,25,23,22,20,23,20,19,24,18,21,23,25,18,19)</f>
        <v>21.2</v>
      </c>
      <c r="Z11" s="13">
        <v>5</v>
      </c>
      <c r="AA11" s="23">
        <v>4</v>
      </c>
      <c r="AC11" s="12">
        <v>1</v>
      </c>
      <c r="AD11" s="12" t="s">
        <v>134</v>
      </c>
      <c r="AE11" t="s">
        <v>155</v>
      </c>
      <c r="AF11" s="12">
        <v>0.47</v>
      </c>
      <c r="AG11" s="12">
        <v>0.33</v>
      </c>
      <c r="AH11" s="23">
        <v>1</v>
      </c>
      <c r="AI11" s="12">
        <v>90</v>
      </c>
      <c r="AJ11" s="12">
        <v>10</v>
      </c>
      <c r="AK11" s="12">
        <v>0</v>
      </c>
      <c r="AL11" s="22">
        <v>85</v>
      </c>
      <c r="AM11" s="12">
        <v>7.5</v>
      </c>
      <c r="AN11" s="12">
        <v>0</v>
      </c>
      <c r="AO11" s="12">
        <v>7.5</v>
      </c>
      <c r="AP11" s="12">
        <v>0</v>
      </c>
      <c r="AQ11" s="12">
        <v>25</v>
      </c>
      <c r="AR11" s="12">
        <f>AVERAGE(20,14,18,18,20,21,22,23,21,20,19,18,25,20,21,19,18,20,21,23)</f>
        <v>20.05</v>
      </c>
      <c r="AS11" s="13">
        <v>4</v>
      </c>
      <c r="AT11" s="23">
        <v>5</v>
      </c>
    </row>
    <row r="12" spans="1:46" x14ac:dyDescent="0.2">
      <c r="A12" s="22">
        <v>42</v>
      </c>
      <c r="B12" s="12">
        <v>1</v>
      </c>
      <c r="C12" s="12" t="s">
        <v>157</v>
      </c>
      <c r="D12" s="12">
        <v>0.54</v>
      </c>
      <c r="E12" s="12">
        <v>0.33</v>
      </c>
      <c r="F12" s="23">
        <v>1</v>
      </c>
      <c r="G12" s="12">
        <v>60</v>
      </c>
      <c r="H12" s="12">
        <v>40</v>
      </c>
      <c r="I12" s="12">
        <v>0</v>
      </c>
      <c r="J12" s="22">
        <v>85</v>
      </c>
      <c r="K12" s="12">
        <v>7.5</v>
      </c>
      <c r="L12" s="12">
        <v>0</v>
      </c>
      <c r="M12" s="12">
        <v>7.5</v>
      </c>
      <c r="N12" s="12">
        <v>0</v>
      </c>
      <c r="O12" s="12">
        <v>20</v>
      </c>
      <c r="P12" s="12">
        <f>AVERAGE(19,23,20,20,18,24,22,23,25,23,19,18,20,18,18,21,21,22,20,18)</f>
        <v>20.6</v>
      </c>
      <c r="Q12" s="13">
        <v>4</v>
      </c>
      <c r="R12" s="23">
        <v>2</v>
      </c>
      <c r="S12" s="12">
        <v>60</v>
      </c>
      <c r="T12" s="12">
        <v>20</v>
      </c>
      <c r="U12" s="12">
        <v>0</v>
      </c>
      <c r="V12" s="12">
        <v>10</v>
      </c>
      <c r="W12" s="12">
        <v>10</v>
      </c>
      <c r="X12" s="12">
        <v>50</v>
      </c>
      <c r="Y12" s="12">
        <f>AVERAGE(17,20,22,19,24,21,25,23,22,21,20,20.5,18,23,17,18,24,22,20,19)</f>
        <v>20.774999999999999</v>
      </c>
      <c r="Z12" s="13">
        <v>5</v>
      </c>
      <c r="AA12" s="23">
        <v>8</v>
      </c>
      <c r="AC12" s="12">
        <v>1</v>
      </c>
      <c r="AD12" s="12" t="s">
        <v>157</v>
      </c>
      <c r="AE12" t="s">
        <v>155</v>
      </c>
      <c r="AF12" s="12">
        <v>0.54</v>
      </c>
      <c r="AG12" s="12">
        <v>0.33</v>
      </c>
      <c r="AH12" s="23">
        <v>1</v>
      </c>
      <c r="AI12" s="12">
        <v>60</v>
      </c>
      <c r="AJ12" s="12">
        <v>40</v>
      </c>
      <c r="AK12" s="12">
        <v>0</v>
      </c>
      <c r="AL12" s="22">
        <v>85</v>
      </c>
      <c r="AM12" s="12">
        <v>7.5</v>
      </c>
      <c r="AN12" s="12">
        <v>0</v>
      </c>
      <c r="AO12" s="12">
        <v>7.5</v>
      </c>
      <c r="AP12" s="12">
        <v>0</v>
      </c>
      <c r="AQ12" s="12">
        <v>20</v>
      </c>
      <c r="AR12" s="12">
        <f>AVERAGE(19,23,20,20,18,24,22,23,25,23,19,18,20,18,18,21,21,22,20,18)</f>
        <v>20.6</v>
      </c>
      <c r="AS12" s="13">
        <v>4</v>
      </c>
      <c r="AT12" s="23">
        <v>2</v>
      </c>
    </row>
    <row r="13" spans="1:46" x14ac:dyDescent="0.2">
      <c r="A13" s="22">
        <v>43</v>
      </c>
      <c r="B13" s="12">
        <v>1</v>
      </c>
      <c r="C13" s="12" t="s">
        <v>14</v>
      </c>
      <c r="D13" s="12">
        <v>0.46</v>
      </c>
      <c r="E13" s="12">
        <v>0.49</v>
      </c>
      <c r="F13" s="23">
        <v>1</v>
      </c>
      <c r="G13" s="12">
        <v>75</v>
      </c>
      <c r="H13" s="12">
        <v>25</v>
      </c>
      <c r="I13" s="12">
        <v>0</v>
      </c>
      <c r="J13" s="22">
        <v>70</v>
      </c>
      <c r="K13" s="12">
        <v>20</v>
      </c>
      <c r="L13" s="12">
        <v>0</v>
      </c>
      <c r="M13" s="12">
        <v>5</v>
      </c>
      <c r="N13" s="12">
        <v>5</v>
      </c>
      <c r="O13" s="12">
        <v>25</v>
      </c>
      <c r="P13" s="12">
        <f>AVERAGE(26,20,25,21,25,24,27,23,18,19,18,21,20,24,23,25,18,27,23,21)</f>
        <v>22.4</v>
      </c>
      <c r="Q13" s="13">
        <v>5</v>
      </c>
      <c r="R13" s="23">
        <v>5</v>
      </c>
      <c r="S13" s="12">
        <v>75</v>
      </c>
      <c r="T13" s="12">
        <v>10</v>
      </c>
      <c r="U13" s="12">
        <v>0</v>
      </c>
      <c r="V13" s="12">
        <v>15</v>
      </c>
      <c r="W13" s="12">
        <v>0</v>
      </c>
      <c r="X13" s="12">
        <v>80</v>
      </c>
      <c r="Y13" s="12">
        <f>AVERAGE(26,19,20,25,24,26,21,23,18,20,24,27,23,20,18,20,26,19,23,27)</f>
        <v>22.45</v>
      </c>
      <c r="Z13" s="13">
        <v>5</v>
      </c>
      <c r="AA13" s="23">
        <v>5</v>
      </c>
      <c r="AC13" s="12">
        <v>1</v>
      </c>
      <c r="AD13" s="12" t="s">
        <v>14</v>
      </c>
      <c r="AE13" t="s">
        <v>155</v>
      </c>
      <c r="AF13" s="12">
        <v>0.46</v>
      </c>
      <c r="AG13" s="12">
        <v>0.49</v>
      </c>
      <c r="AH13" s="23">
        <v>1</v>
      </c>
      <c r="AI13" s="12">
        <v>75</v>
      </c>
      <c r="AJ13" s="12">
        <v>25</v>
      </c>
      <c r="AK13" s="12">
        <v>0</v>
      </c>
      <c r="AL13" s="22">
        <v>70</v>
      </c>
      <c r="AM13" s="12">
        <v>20</v>
      </c>
      <c r="AN13" s="12">
        <v>0</v>
      </c>
      <c r="AO13" s="12">
        <v>5</v>
      </c>
      <c r="AP13" s="12">
        <v>5</v>
      </c>
      <c r="AQ13" s="12">
        <v>25</v>
      </c>
      <c r="AR13" s="12">
        <f>AVERAGE(26,20,25,21,25,24,27,23,18,19,18,21,20,24,23,25,18,27,23,21)</f>
        <v>22.4</v>
      </c>
      <c r="AS13" s="13">
        <v>5</v>
      </c>
      <c r="AT13" s="23">
        <v>5</v>
      </c>
    </row>
    <row r="14" spans="1:46" x14ac:dyDescent="0.2">
      <c r="A14" s="22">
        <v>44</v>
      </c>
      <c r="B14" s="12">
        <v>1</v>
      </c>
      <c r="C14" s="12" t="s">
        <v>134</v>
      </c>
      <c r="D14" s="12">
        <v>0.56999999999999995</v>
      </c>
      <c r="E14" s="12">
        <v>0.57999999999999996</v>
      </c>
      <c r="F14" s="23">
        <v>1</v>
      </c>
      <c r="G14" s="12">
        <v>95</v>
      </c>
      <c r="H14" s="12">
        <v>5</v>
      </c>
      <c r="I14" s="12">
        <v>0</v>
      </c>
      <c r="J14" s="22">
        <v>90</v>
      </c>
      <c r="K14" s="12">
        <v>5</v>
      </c>
      <c r="L14" s="12">
        <v>0</v>
      </c>
      <c r="M14" s="12">
        <v>2.5</v>
      </c>
      <c r="N14" s="12">
        <v>2.5</v>
      </c>
      <c r="O14" s="12">
        <v>30</v>
      </c>
      <c r="P14" s="12">
        <f>AVERAGE(22,22,25,24,23,21,20,21,22,25,24,23.5,23,20,22,21,23,21,24,20)</f>
        <v>22.324999999999999</v>
      </c>
      <c r="Q14" s="13">
        <v>3</v>
      </c>
      <c r="R14" s="23">
        <v>5</v>
      </c>
      <c r="S14" s="12">
        <v>85</v>
      </c>
      <c r="T14" s="12">
        <v>5</v>
      </c>
      <c r="U14" s="12">
        <v>0</v>
      </c>
      <c r="V14" s="12">
        <v>10</v>
      </c>
      <c r="W14" s="12">
        <v>0</v>
      </c>
      <c r="X14" s="12">
        <v>70</v>
      </c>
      <c r="Y14" s="12">
        <f>AVERAGE(24,18,20,22,21,22,26,25,22,20,23,26,19,20,22,24,27,23,24,23)</f>
        <v>22.55</v>
      </c>
      <c r="Z14" s="13">
        <v>4</v>
      </c>
      <c r="AA14" s="23">
        <v>10</v>
      </c>
      <c r="AC14" s="12">
        <v>1</v>
      </c>
      <c r="AD14" s="12" t="s">
        <v>134</v>
      </c>
      <c r="AE14" t="s">
        <v>155</v>
      </c>
      <c r="AF14" s="12">
        <v>0.56999999999999995</v>
      </c>
      <c r="AG14" s="12">
        <v>0.57999999999999996</v>
      </c>
      <c r="AH14" s="23">
        <v>1</v>
      </c>
      <c r="AI14" s="12">
        <v>95</v>
      </c>
      <c r="AJ14" s="12">
        <v>5</v>
      </c>
      <c r="AK14" s="12">
        <v>0</v>
      </c>
      <c r="AL14" s="22">
        <v>90</v>
      </c>
      <c r="AM14" s="12">
        <v>5</v>
      </c>
      <c r="AN14" s="12">
        <v>0</v>
      </c>
      <c r="AO14" s="12">
        <v>2.5</v>
      </c>
      <c r="AP14" s="12">
        <v>2.5</v>
      </c>
      <c r="AQ14" s="12">
        <v>30</v>
      </c>
      <c r="AR14" s="12">
        <f>AVERAGE(22,22,25,24,23,21,20,21,22,25,24,23.5,23,20,22,21,23,21,24,20)</f>
        <v>22.324999999999999</v>
      </c>
      <c r="AS14" s="13">
        <v>3</v>
      </c>
      <c r="AT14" s="23">
        <v>5</v>
      </c>
    </row>
    <row r="15" spans="1:46" x14ac:dyDescent="0.2">
      <c r="A15" s="22">
        <v>45</v>
      </c>
      <c r="B15" s="12">
        <v>1</v>
      </c>
      <c r="C15" s="12" t="s">
        <v>157</v>
      </c>
      <c r="D15" s="12">
        <v>0.54</v>
      </c>
      <c r="E15" s="12">
        <v>0.7</v>
      </c>
      <c r="F15" s="23">
        <v>1</v>
      </c>
      <c r="G15" s="12">
        <v>60</v>
      </c>
      <c r="H15" s="12">
        <v>0</v>
      </c>
      <c r="I15" s="12">
        <v>40</v>
      </c>
      <c r="J15" s="22">
        <v>80</v>
      </c>
      <c r="K15" s="12">
        <v>10</v>
      </c>
      <c r="L15" s="12">
        <v>5</v>
      </c>
      <c r="M15" s="12">
        <v>5</v>
      </c>
      <c r="N15" s="12">
        <v>0</v>
      </c>
      <c r="O15" s="12">
        <v>30</v>
      </c>
      <c r="P15" s="12">
        <f>AVERAGE(27,28,24,30,27,25,23,26,30,28,29,29,27,25,24,27,28,22,29,25)</f>
        <v>26.65</v>
      </c>
      <c r="Q15" s="13">
        <v>4</v>
      </c>
      <c r="R15" s="23">
        <v>0</v>
      </c>
      <c r="S15" s="12">
        <v>90</v>
      </c>
      <c r="T15" s="12">
        <v>0</v>
      </c>
      <c r="U15" s="12">
        <v>0</v>
      </c>
      <c r="V15" s="12">
        <v>10</v>
      </c>
      <c r="W15" s="12">
        <v>0</v>
      </c>
      <c r="X15" s="12">
        <v>45</v>
      </c>
      <c r="Y15" s="12">
        <f>AVERAGE(25,26,28,27,20,21,20,24,23,25,27,22,21,20,26,25,28,29,27,24)</f>
        <v>24.4</v>
      </c>
      <c r="Z15" s="13">
        <v>4</v>
      </c>
      <c r="AA15" s="23">
        <v>10</v>
      </c>
      <c r="AC15" s="12">
        <v>1</v>
      </c>
      <c r="AD15" s="12" t="s">
        <v>157</v>
      </c>
      <c r="AE15" t="s">
        <v>155</v>
      </c>
      <c r="AF15" s="12">
        <v>0.54</v>
      </c>
      <c r="AG15" s="12">
        <v>0.7</v>
      </c>
      <c r="AH15" s="23">
        <v>1</v>
      </c>
      <c r="AI15" s="12">
        <v>60</v>
      </c>
      <c r="AJ15" s="12">
        <v>0</v>
      </c>
      <c r="AK15" s="12">
        <v>40</v>
      </c>
      <c r="AL15" s="22">
        <v>80</v>
      </c>
      <c r="AM15" s="12">
        <v>10</v>
      </c>
      <c r="AN15" s="12">
        <v>5</v>
      </c>
      <c r="AO15" s="12">
        <v>5</v>
      </c>
      <c r="AP15" s="12">
        <v>0</v>
      </c>
      <c r="AQ15" s="12">
        <v>30</v>
      </c>
      <c r="AR15" s="12">
        <f>AVERAGE(27,28,24,30,27,25,23,26,30,28,29,29,27,25,24,27,28,22,29,25)</f>
        <v>26.65</v>
      </c>
      <c r="AS15" s="13">
        <v>4</v>
      </c>
      <c r="AT15" s="23">
        <v>0</v>
      </c>
    </row>
    <row r="16" spans="1:46" x14ac:dyDescent="0.2">
      <c r="A16" s="22">
        <v>46</v>
      </c>
      <c r="B16" s="12">
        <v>1</v>
      </c>
      <c r="C16" s="12" t="s">
        <v>24</v>
      </c>
      <c r="D16" s="12">
        <v>0.56999999999999995</v>
      </c>
      <c r="E16" s="12">
        <v>0.42</v>
      </c>
      <c r="F16" s="23">
        <v>1</v>
      </c>
      <c r="G16" s="12">
        <v>100</v>
      </c>
      <c r="H16" s="12">
        <v>0</v>
      </c>
      <c r="I16" s="12">
        <v>0</v>
      </c>
      <c r="J16" s="22">
        <v>70</v>
      </c>
      <c r="K16" s="12">
        <v>20</v>
      </c>
      <c r="L16" s="12">
        <v>0</v>
      </c>
      <c r="M16" s="12">
        <v>5</v>
      </c>
      <c r="N16" s="12">
        <v>5</v>
      </c>
      <c r="O16" s="12">
        <v>20</v>
      </c>
      <c r="P16" s="12">
        <f>AVERAGE(27,22,25,21,20,29,28,27,22,26,24,23,23,22,21,20,20.5,25,23,26)</f>
        <v>23.725000000000001</v>
      </c>
      <c r="Q16" s="13">
        <v>4</v>
      </c>
      <c r="R16" s="23">
        <v>5</v>
      </c>
      <c r="S16" s="12">
        <v>80</v>
      </c>
      <c r="T16" s="12">
        <v>10</v>
      </c>
      <c r="U16" s="12">
        <v>0</v>
      </c>
      <c r="V16" s="12">
        <v>10</v>
      </c>
      <c r="W16" s="12">
        <v>0</v>
      </c>
      <c r="X16" s="12">
        <v>10</v>
      </c>
      <c r="Y16" s="12">
        <f>AVERAGE(20,24,23,26,21,25,23,27,26,20,21,28,24,26,25,21,23,20,27,22)</f>
        <v>23.6</v>
      </c>
      <c r="Z16" s="13">
        <v>4</v>
      </c>
      <c r="AA16" s="23">
        <v>5</v>
      </c>
      <c r="AC16" s="12">
        <v>1</v>
      </c>
      <c r="AD16" s="12" t="s">
        <v>24</v>
      </c>
      <c r="AE16" t="s">
        <v>155</v>
      </c>
      <c r="AF16" s="12">
        <v>0.56999999999999995</v>
      </c>
      <c r="AG16" s="12">
        <v>0.42</v>
      </c>
      <c r="AH16" s="23">
        <v>1</v>
      </c>
      <c r="AI16" s="12">
        <v>100</v>
      </c>
      <c r="AJ16" s="12">
        <v>0</v>
      </c>
      <c r="AK16" s="12">
        <v>0</v>
      </c>
      <c r="AL16" s="22">
        <v>70</v>
      </c>
      <c r="AM16" s="12">
        <v>20</v>
      </c>
      <c r="AN16" s="12">
        <v>0</v>
      </c>
      <c r="AO16" s="12">
        <v>5</v>
      </c>
      <c r="AP16" s="12">
        <v>5</v>
      </c>
      <c r="AQ16" s="12">
        <v>20</v>
      </c>
      <c r="AR16" s="12">
        <f>AVERAGE(27,22,25,21,20,29,28,27,22,26,24,23,23,22,21,20,20.5,25,23,26)</f>
        <v>23.725000000000001</v>
      </c>
      <c r="AS16" s="13">
        <v>4</v>
      </c>
      <c r="AT16" s="23">
        <v>5</v>
      </c>
    </row>
    <row r="17" spans="1:46" x14ac:dyDescent="0.2">
      <c r="A17" s="22">
        <v>47</v>
      </c>
      <c r="B17" s="12">
        <v>1</v>
      </c>
      <c r="C17" s="12" t="s">
        <v>24</v>
      </c>
      <c r="D17" s="12">
        <v>0.56000000000000005</v>
      </c>
      <c r="E17" s="12">
        <v>0.34</v>
      </c>
      <c r="F17" s="23">
        <v>1</v>
      </c>
      <c r="G17" s="12">
        <v>100</v>
      </c>
      <c r="H17" s="12">
        <v>0</v>
      </c>
      <c r="I17" s="12">
        <v>0</v>
      </c>
      <c r="J17" s="22">
        <v>90</v>
      </c>
      <c r="K17" s="12">
        <v>5</v>
      </c>
      <c r="L17" s="12">
        <v>2.5</v>
      </c>
      <c r="M17" s="12">
        <v>2.5</v>
      </c>
      <c r="N17" s="12">
        <v>0</v>
      </c>
      <c r="O17" s="12">
        <v>40</v>
      </c>
      <c r="P17" s="12">
        <f>AVERAGE(25,24,25,29,26,20,22,28,26,21,21,25,27,28,26,24,29,23,22,20)</f>
        <v>24.55</v>
      </c>
      <c r="Q17" s="13">
        <v>5</v>
      </c>
      <c r="R17" s="23">
        <v>5</v>
      </c>
      <c r="S17" s="12">
        <v>90</v>
      </c>
      <c r="T17" s="12">
        <v>0</v>
      </c>
      <c r="U17" s="12">
        <v>0</v>
      </c>
      <c r="V17" s="12">
        <v>10</v>
      </c>
      <c r="W17" s="12">
        <v>0</v>
      </c>
      <c r="X17" s="12">
        <v>100</v>
      </c>
      <c r="Y17" s="12">
        <f>AVERAGE(25.5,27,20,22,24,25,21,23,27,27,25,20,28,20,28,26,24,25,28,26)</f>
        <v>24.574999999999999</v>
      </c>
      <c r="Z17" s="13">
        <v>5</v>
      </c>
      <c r="AA17" s="23">
        <v>14</v>
      </c>
      <c r="AC17" s="12">
        <v>1</v>
      </c>
      <c r="AD17" s="12" t="s">
        <v>24</v>
      </c>
      <c r="AE17" t="s">
        <v>155</v>
      </c>
      <c r="AF17" s="12">
        <v>0.56000000000000005</v>
      </c>
      <c r="AG17" s="12">
        <v>0.34</v>
      </c>
      <c r="AH17" s="23">
        <v>1</v>
      </c>
      <c r="AI17" s="12">
        <v>100</v>
      </c>
      <c r="AJ17" s="12">
        <v>0</v>
      </c>
      <c r="AK17" s="12">
        <v>0</v>
      </c>
      <c r="AL17" s="22">
        <v>90</v>
      </c>
      <c r="AM17" s="12">
        <v>5</v>
      </c>
      <c r="AN17" s="12">
        <v>2.5</v>
      </c>
      <c r="AO17" s="12">
        <v>2.5</v>
      </c>
      <c r="AP17" s="12">
        <v>0</v>
      </c>
      <c r="AQ17" s="12">
        <v>40</v>
      </c>
      <c r="AR17" s="12">
        <f>AVERAGE(25,24,25,29,26,20,22,28,26,21,21,25,27,28,26,24,29,23,22,20)</f>
        <v>24.55</v>
      </c>
      <c r="AS17" s="13">
        <v>5</v>
      </c>
      <c r="AT17" s="23">
        <v>5</v>
      </c>
    </row>
    <row r="18" spans="1:46" x14ac:dyDescent="0.2">
      <c r="A18" s="22">
        <v>48</v>
      </c>
      <c r="B18" s="12">
        <v>1</v>
      </c>
      <c r="C18" s="12" t="s">
        <v>157</v>
      </c>
      <c r="D18" s="12">
        <v>0.54</v>
      </c>
      <c r="E18" s="12">
        <v>0.56000000000000005</v>
      </c>
      <c r="F18" s="23">
        <v>1</v>
      </c>
      <c r="G18" s="12">
        <v>100</v>
      </c>
      <c r="H18" s="12">
        <v>0</v>
      </c>
      <c r="I18" s="12">
        <v>0</v>
      </c>
      <c r="J18" s="22">
        <v>70</v>
      </c>
      <c r="K18" s="12">
        <v>20</v>
      </c>
      <c r="L18" s="12">
        <v>5</v>
      </c>
      <c r="M18" s="12">
        <v>5</v>
      </c>
      <c r="N18" s="12">
        <v>0</v>
      </c>
      <c r="O18" s="12">
        <v>55</v>
      </c>
      <c r="P18" s="12">
        <f>AVERAGE(23,28,17,19,24,22,25,15,16.5,17,19,18,21,23,18,24,16,16,21,20)</f>
        <v>20.125</v>
      </c>
      <c r="Q18" s="13">
        <v>4</v>
      </c>
      <c r="R18" s="23">
        <v>5</v>
      </c>
      <c r="S18" s="12">
        <v>85</v>
      </c>
      <c r="T18" s="12">
        <v>5</v>
      </c>
      <c r="U18" s="12">
        <v>0</v>
      </c>
      <c r="V18" s="12">
        <v>10</v>
      </c>
      <c r="W18" s="12">
        <v>0</v>
      </c>
      <c r="X18" s="12">
        <v>100</v>
      </c>
      <c r="Y18" s="12">
        <f>AVERAGE(22,20,19,22,14,18,17,18,20,16,24,23,19,20,22,23,22,21,20,24)</f>
        <v>20.2</v>
      </c>
      <c r="Z18" s="13">
        <v>5</v>
      </c>
      <c r="AA18" s="23">
        <v>5</v>
      </c>
      <c r="AC18" s="12">
        <v>1</v>
      </c>
      <c r="AD18" s="12" t="s">
        <v>157</v>
      </c>
      <c r="AE18" t="s">
        <v>155</v>
      </c>
      <c r="AF18" s="12">
        <v>0.54</v>
      </c>
      <c r="AG18" s="12">
        <v>0.56000000000000005</v>
      </c>
      <c r="AH18" s="23">
        <v>1</v>
      </c>
      <c r="AI18" s="12">
        <v>100</v>
      </c>
      <c r="AJ18" s="12">
        <v>0</v>
      </c>
      <c r="AK18" s="12">
        <v>0</v>
      </c>
      <c r="AL18" s="22">
        <v>70</v>
      </c>
      <c r="AM18" s="12">
        <v>20</v>
      </c>
      <c r="AN18" s="12">
        <v>5</v>
      </c>
      <c r="AO18" s="12">
        <v>5</v>
      </c>
      <c r="AP18" s="12">
        <v>0</v>
      </c>
      <c r="AQ18" s="12">
        <v>55</v>
      </c>
      <c r="AR18" s="12">
        <f>AVERAGE(23,28,17,19,24,22,25,15,16.5,17,19,18,21,23,18,24,16,16,21,20)</f>
        <v>20.125</v>
      </c>
      <c r="AS18" s="13">
        <v>4</v>
      </c>
      <c r="AT18" s="23">
        <v>5</v>
      </c>
    </row>
    <row r="19" spans="1:46" x14ac:dyDescent="0.2">
      <c r="A19" s="22">
        <v>49</v>
      </c>
      <c r="B19" s="12">
        <v>1</v>
      </c>
      <c r="C19" s="12" t="s">
        <v>134</v>
      </c>
      <c r="D19" s="12">
        <v>0.54</v>
      </c>
      <c r="E19" s="12">
        <v>0.62</v>
      </c>
      <c r="F19" s="23">
        <v>1</v>
      </c>
      <c r="G19" s="12">
        <v>100</v>
      </c>
      <c r="H19" s="12">
        <v>0</v>
      </c>
      <c r="I19" s="12">
        <v>0</v>
      </c>
      <c r="J19" s="22">
        <v>80</v>
      </c>
      <c r="K19" s="12">
        <v>15</v>
      </c>
      <c r="L19" s="12">
        <v>0</v>
      </c>
      <c r="M19" s="12">
        <v>5</v>
      </c>
      <c r="N19" s="12">
        <v>0</v>
      </c>
      <c r="O19" s="12">
        <v>20</v>
      </c>
      <c r="P19" s="12">
        <f>AVERAGE(23,20,27,26,25,24,20,29,21,30,22,26,27,28,26.5,21,21,25,27,24)</f>
        <v>24.625</v>
      </c>
      <c r="Q19" s="13">
        <v>3</v>
      </c>
      <c r="R19" s="23">
        <v>5</v>
      </c>
      <c r="S19" s="12">
        <v>70</v>
      </c>
      <c r="T19" s="12">
        <v>10</v>
      </c>
      <c r="U19" s="12">
        <v>0</v>
      </c>
      <c r="V19" s="12">
        <v>20</v>
      </c>
      <c r="W19" s="12">
        <v>0</v>
      </c>
      <c r="X19" s="12">
        <v>40</v>
      </c>
      <c r="Y19" s="12">
        <f>AVERAGE(23,22,26,26,24,25,23,21,25,27,24,28,20,19,23,27,19,23,24,24)</f>
        <v>23.65</v>
      </c>
      <c r="Z19" s="13">
        <v>4</v>
      </c>
      <c r="AA19" s="23">
        <v>10</v>
      </c>
      <c r="AC19" s="12">
        <v>1</v>
      </c>
      <c r="AD19" s="12" t="s">
        <v>134</v>
      </c>
      <c r="AE19" t="s">
        <v>155</v>
      </c>
      <c r="AF19" s="12">
        <v>0.54</v>
      </c>
      <c r="AG19" s="12">
        <v>0.62</v>
      </c>
      <c r="AH19" s="23">
        <v>1</v>
      </c>
      <c r="AI19" s="12">
        <v>100</v>
      </c>
      <c r="AJ19" s="12">
        <v>0</v>
      </c>
      <c r="AK19" s="12">
        <v>0</v>
      </c>
      <c r="AL19" s="22">
        <v>80</v>
      </c>
      <c r="AM19" s="12">
        <v>15</v>
      </c>
      <c r="AN19" s="12">
        <v>0</v>
      </c>
      <c r="AO19" s="12">
        <v>5</v>
      </c>
      <c r="AP19" s="12">
        <v>0</v>
      </c>
      <c r="AQ19" s="12">
        <v>20</v>
      </c>
      <c r="AR19" s="12">
        <f>AVERAGE(23,20,27,26,25,24,20,29,21,30,22,26,27,28,26.5,21,21,25,27,24)</f>
        <v>24.625</v>
      </c>
      <c r="AS19" s="13">
        <v>3</v>
      </c>
      <c r="AT19" s="23">
        <v>5</v>
      </c>
    </row>
    <row r="20" spans="1:46" x14ac:dyDescent="0.2">
      <c r="A20" s="22">
        <v>50</v>
      </c>
      <c r="B20" s="12">
        <v>1</v>
      </c>
      <c r="C20" s="12" t="s">
        <v>24</v>
      </c>
      <c r="D20" s="12">
        <v>0.5</v>
      </c>
      <c r="E20" s="12">
        <v>0.3</v>
      </c>
      <c r="F20" s="23">
        <v>1</v>
      </c>
      <c r="G20" s="12">
        <v>100</v>
      </c>
      <c r="H20" s="12">
        <v>0</v>
      </c>
      <c r="I20" s="12">
        <v>0</v>
      </c>
      <c r="J20" s="22">
        <v>95</v>
      </c>
      <c r="K20" s="12">
        <v>2.5</v>
      </c>
      <c r="L20" s="12">
        <v>0</v>
      </c>
      <c r="M20" s="12">
        <v>2.5</v>
      </c>
      <c r="N20" s="12">
        <v>0</v>
      </c>
      <c r="O20" s="12">
        <v>45</v>
      </c>
      <c r="P20" s="12">
        <f>AVERAGE(22,21,20,19,25,24,25,23,22,22,20,23,21,20,21,24,24,22,20,25)</f>
        <v>22.15</v>
      </c>
      <c r="Q20" s="13">
        <v>5</v>
      </c>
      <c r="R20" s="23">
        <v>10</v>
      </c>
      <c r="S20" s="12">
        <v>75</v>
      </c>
      <c r="T20" s="12">
        <v>0</v>
      </c>
      <c r="U20" s="12">
        <v>0</v>
      </c>
      <c r="V20" s="12">
        <v>20</v>
      </c>
      <c r="W20" s="12">
        <v>5</v>
      </c>
      <c r="X20" s="12">
        <v>90</v>
      </c>
      <c r="Y20" s="12">
        <f>AVERAGE(20,21,25,24,24,21,26,20,21,20,24,26,23,25,21,22,23.5,23,24,22)</f>
        <v>22.774999999999999</v>
      </c>
      <c r="Z20" s="13">
        <v>5</v>
      </c>
      <c r="AA20" s="23">
        <v>5</v>
      </c>
      <c r="AC20" s="12">
        <v>1</v>
      </c>
      <c r="AD20" s="12" t="s">
        <v>24</v>
      </c>
      <c r="AE20" t="s">
        <v>155</v>
      </c>
      <c r="AF20" s="12">
        <v>0.5</v>
      </c>
      <c r="AG20" s="12">
        <v>0.3</v>
      </c>
      <c r="AH20" s="23">
        <v>1</v>
      </c>
      <c r="AI20" s="12">
        <v>100</v>
      </c>
      <c r="AJ20" s="12">
        <v>0</v>
      </c>
      <c r="AK20" s="12">
        <v>0</v>
      </c>
      <c r="AL20" s="22">
        <v>95</v>
      </c>
      <c r="AM20" s="12">
        <v>2.5</v>
      </c>
      <c r="AN20" s="12">
        <v>0</v>
      </c>
      <c r="AO20" s="12">
        <v>2.5</v>
      </c>
      <c r="AP20" s="12">
        <v>0</v>
      </c>
      <c r="AQ20" s="12">
        <v>45</v>
      </c>
      <c r="AR20" s="12">
        <f>AVERAGE(22,21,20,19,25,24,25,23,22,22,20,23,21,20,21,24,24,22,20,25)</f>
        <v>22.15</v>
      </c>
      <c r="AS20" s="13">
        <v>5</v>
      </c>
      <c r="AT20" s="23">
        <v>10</v>
      </c>
    </row>
    <row r="21" spans="1:46" x14ac:dyDescent="0.2">
      <c r="A21" s="22">
        <v>51</v>
      </c>
      <c r="B21" s="12">
        <v>1</v>
      </c>
      <c r="C21" s="12" t="s">
        <v>157</v>
      </c>
      <c r="D21" s="12">
        <v>0.56000000000000005</v>
      </c>
      <c r="E21" s="12">
        <v>0.3</v>
      </c>
      <c r="F21" s="23">
        <v>1</v>
      </c>
      <c r="G21" s="12">
        <v>100</v>
      </c>
      <c r="H21" s="12">
        <v>0</v>
      </c>
      <c r="I21" s="12">
        <v>0</v>
      </c>
      <c r="J21" s="22">
        <v>70</v>
      </c>
      <c r="K21" s="12">
        <v>20</v>
      </c>
      <c r="L21" s="12">
        <v>0</v>
      </c>
      <c r="M21" s="12">
        <v>10</v>
      </c>
      <c r="N21" s="12">
        <v>0</v>
      </c>
      <c r="O21" s="12">
        <v>45</v>
      </c>
      <c r="P21" s="12">
        <f>AVERAGE(27,25,25,29,30,28,27.5,26,25,26,29,28,28,27,26.5,25,25.5,29,30,27)</f>
        <v>27.175000000000001</v>
      </c>
      <c r="Q21" s="13">
        <v>4</v>
      </c>
      <c r="R21" s="23">
        <v>0</v>
      </c>
      <c r="S21" s="12">
        <v>60</v>
      </c>
      <c r="T21" s="12">
        <v>20</v>
      </c>
      <c r="U21" s="12">
        <v>0</v>
      </c>
      <c r="V21" s="12">
        <v>15</v>
      </c>
      <c r="W21" s="12">
        <v>5</v>
      </c>
      <c r="X21" s="12">
        <v>80</v>
      </c>
      <c r="Y21" s="12">
        <f>AVERAGE(25,30,28,26,29,27,24,25,26,30,28,29,27,25,27,26,29,25.5,26,28)</f>
        <v>27.024999999999999</v>
      </c>
      <c r="Z21" s="13">
        <v>4</v>
      </c>
      <c r="AA21" s="23">
        <v>10</v>
      </c>
      <c r="AC21" s="12">
        <v>1</v>
      </c>
      <c r="AD21" s="12" t="s">
        <v>157</v>
      </c>
      <c r="AE21" t="s">
        <v>155</v>
      </c>
      <c r="AF21" s="12">
        <v>0.56000000000000005</v>
      </c>
      <c r="AG21" s="12">
        <v>0.3</v>
      </c>
      <c r="AH21" s="23">
        <v>1</v>
      </c>
      <c r="AI21" s="12">
        <v>100</v>
      </c>
      <c r="AJ21" s="12">
        <v>0</v>
      </c>
      <c r="AK21" s="12">
        <v>0</v>
      </c>
      <c r="AL21" s="22">
        <v>70</v>
      </c>
      <c r="AM21" s="12">
        <v>20</v>
      </c>
      <c r="AN21" s="12">
        <v>0</v>
      </c>
      <c r="AO21" s="12">
        <v>10</v>
      </c>
      <c r="AP21" s="12">
        <v>0</v>
      </c>
      <c r="AQ21" s="12">
        <v>45</v>
      </c>
      <c r="AR21" s="12">
        <f>AVERAGE(27,25,25,29,30,28,27.5,26,25,26,29,28,28,27,26.5,25,25.5,29,30,27)</f>
        <v>27.175000000000001</v>
      </c>
      <c r="AS21" s="13">
        <v>4</v>
      </c>
      <c r="AT21" s="23">
        <v>0</v>
      </c>
    </row>
    <row r="22" spans="1:46" x14ac:dyDescent="0.2">
      <c r="A22" s="22">
        <v>52</v>
      </c>
      <c r="B22" s="12">
        <v>1</v>
      </c>
      <c r="C22" s="12" t="s">
        <v>134</v>
      </c>
      <c r="D22" s="12">
        <v>0.5</v>
      </c>
      <c r="E22" s="12">
        <v>0.34</v>
      </c>
      <c r="F22" s="23">
        <v>1</v>
      </c>
      <c r="G22" s="12">
        <v>95</v>
      </c>
      <c r="H22" s="12">
        <v>5</v>
      </c>
      <c r="I22" s="12">
        <v>0</v>
      </c>
      <c r="J22" s="22">
        <v>75</v>
      </c>
      <c r="K22" s="12">
        <v>15</v>
      </c>
      <c r="L22" s="12">
        <v>0</v>
      </c>
      <c r="M22" s="12">
        <v>10</v>
      </c>
      <c r="N22" s="12">
        <v>0</v>
      </c>
      <c r="O22" s="12">
        <v>25</v>
      </c>
      <c r="P22" s="12">
        <f>AVERAGE(25,29,27,27,26,26.6,28,27,29,30,29,25,26,27,28,28,29,25,26,26)</f>
        <v>27.18</v>
      </c>
      <c r="Q22" s="13">
        <v>5</v>
      </c>
      <c r="R22" s="23">
        <v>5</v>
      </c>
      <c r="S22" s="12">
        <v>70</v>
      </c>
      <c r="T22" s="12">
        <v>10</v>
      </c>
      <c r="U22" s="12">
        <v>0</v>
      </c>
      <c r="V22" s="12">
        <v>20</v>
      </c>
      <c r="W22" s="12">
        <v>0</v>
      </c>
      <c r="X22" s="12">
        <v>10</v>
      </c>
      <c r="Y22" s="12">
        <f>AVERAGE(27,30,29,27,27,28,29,26,28,29,30,28,27,27,29,28,26,27,29,27)</f>
        <v>27.9</v>
      </c>
      <c r="Z22" s="13">
        <v>5</v>
      </c>
      <c r="AA22" s="23">
        <v>5</v>
      </c>
      <c r="AC22" s="12">
        <v>1</v>
      </c>
      <c r="AD22" s="12" t="s">
        <v>134</v>
      </c>
      <c r="AE22" t="s">
        <v>155</v>
      </c>
      <c r="AF22" s="12">
        <v>0.5</v>
      </c>
      <c r="AG22" s="12">
        <v>0.34</v>
      </c>
      <c r="AH22" s="23">
        <v>1</v>
      </c>
      <c r="AI22" s="12">
        <v>95</v>
      </c>
      <c r="AJ22" s="12">
        <v>5</v>
      </c>
      <c r="AK22" s="12">
        <v>0</v>
      </c>
      <c r="AL22" s="22">
        <v>75</v>
      </c>
      <c r="AM22" s="12">
        <v>15</v>
      </c>
      <c r="AN22" s="12">
        <v>0</v>
      </c>
      <c r="AO22" s="12">
        <v>10</v>
      </c>
      <c r="AP22" s="12">
        <v>0</v>
      </c>
      <c r="AQ22" s="12">
        <v>25</v>
      </c>
      <c r="AR22" s="12">
        <f>AVERAGE(25,29,27,27,26,26.6,28,27,29,30,29,25,26,27,28,28,29,25,26,26)</f>
        <v>27.18</v>
      </c>
      <c r="AS22" s="13">
        <v>5</v>
      </c>
      <c r="AT22" s="23">
        <v>5</v>
      </c>
    </row>
    <row r="23" spans="1:46" x14ac:dyDescent="0.2">
      <c r="A23" s="22">
        <v>53</v>
      </c>
      <c r="B23" s="12">
        <v>1</v>
      </c>
      <c r="C23" s="12" t="s">
        <v>134</v>
      </c>
      <c r="D23" s="12">
        <v>0.5</v>
      </c>
      <c r="E23" s="12">
        <v>0.28000000000000003</v>
      </c>
      <c r="F23" s="23">
        <v>1</v>
      </c>
      <c r="G23" s="12">
        <v>85</v>
      </c>
      <c r="H23" s="12">
        <v>15</v>
      </c>
      <c r="I23" s="12">
        <v>0</v>
      </c>
      <c r="J23" s="22">
        <v>75</v>
      </c>
      <c r="K23" s="12">
        <v>15</v>
      </c>
      <c r="L23" s="12">
        <v>0</v>
      </c>
      <c r="M23" s="12">
        <v>10</v>
      </c>
      <c r="N23" s="12">
        <v>0</v>
      </c>
      <c r="O23" s="12">
        <v>30</v>
      </c>
      <c r="P23" s="12">
        <f>AVERAGE(21,24,22,16,19,24,18,18,23,25,21,20,20,23,18,16,16,23,25,23)</f>
        <v>20.75</v>
      </c>
      <c r="Q23" s="13">
        <v>4</v>
      </c>
      <c r="R23" s="23">
        <v>4</v>
      </c>
      <c r="S23" s="12">
        <v>50</v>
      </c>
      <c r="T23" s="12">
        <v>30</v>
      </c>
      <c r="U23" s="12">
        <v>0</v>
      </c>
      <c r="V23" s="12">
        <v>20</v>
      </c>
      <c r="W23" s="12">
        <v>0</v>
      </c>
      <c r="X23" s="12">
        <v>60</v>
      </c>
      <c r="Y23" s="12">
        <f>AVERAGE(19,21,24,22,20,21,20,18,23,22,24,18,20,18,19,22,20,23,24,19)</f>
        <v>20.85</v>
      </c>
      <c r="Z23" s="13">
        <v>5</v>
      </c>
      <c r="AA23" s="23">
        <v>5</v>
      </c>
      <c r="AC23" s="12">
        <v>1</v>
      </c>
      <c r="AD23" s="12" t="s">
        <v>134</v>
      </c>
      <c r="AE23" t="s">
        <v>155</v>
      </c>
      <c r="AF23" s="12">
        <v>0.5</v>
      </c>
      <c r="AG23" s="12">
        <v>0.28000000000000003</v>
      </c>
      <c r="AH23" s="23">
        <v>1</v>
      </c>
      <c r="AI23" s="12">
        <v>85</v>
      </c>
      <c r="AJ23" s="12">
        <v>15</v>
      </c>
      <c r="AK23" s="12">
        <v>0</v>
      </c>
      <c r="AL23" s="22">
        <v>75</v>
      </c>
      <c r="AM23" s="12">
        <v>15</v>
      </c>
      <c r="AN23" s="12">
        <v>0</v>
      </c>
      <c r="AO23" s="12">
        <v>10</v>
      </c>
      <c r="AP23" s="12">
        <v>0</v>
      </c>
      <c r="AQ23" s="12">
        <v>30</v>
      </c>
      <c r="AR23" s="12">
        <f>AVERAGE(21,24,22,16,19,24,18,18,23,25,21,20,20,23,18,16,16,23,25,23)</f>
        <v>20.75</v>
      </c>
      <c r="AS23" s="13">
        <v>4</v>
      </c>
      <c r="AT23" s="23">
        <v>4</v>
      </c>
    </row>
    <row r="24" spans="1:46" x14ac:dyDescent="0.2">
      <c r="A24" s="22">
        <v>54</v>
      </c>
      <c r="B24" s="12">
        <v>1</v>
      </c>
      <c r="C24" s="12" t="s">
        <v>157</v>
      </c>
      <c r="D24" s="12">
        <v>0.51</v>
      </c>
      <c r="E24" s="12">
        <v>0.37</v>
      </c>
      <c r="F24" s="23">
        <v>1</v>
      </c>
      <c r="G24" s="12">
        <v>100</v>
      </c>
      <c r="H24" s="12">
        <v>0</v>
      </c>
      <c r="I24" s="12">
        <v>0</v>
      </c>
      <c r="J24" s="22">
        <v>85</v>
      </c>
      <c r="K24" s="12">
        <v>7.5</v>
      </c>
      <c r="L24" s="12">
        <v>0</v>
      </c>
      <c r="M24" s="12">
        <v>7.5</v>
      </c>
      <c r="N24" s="12">
        <v>0</v>
      </c>
      <c r="O24" s="12">
        <v>40</v>
      </c>
      <c r="P24" s="12">
        <f>AVERAGE(27,27,28,29,30,29,27,28,23,30,29,29.5,27,28,28,28.5,27,29,30,27)</f>
        <v>28.05</v>
      </c>
      <c r="Q24" s="13">
        <v>5</v>
      </c>
      <c r="R24" s="23">
        <v>0</v>
      </c>
      <c r="S24" s="12">
        <v>85</v>
      </c>
      <c r="T24" s="12">
        <v>5</v>
      </c>
      <c r="U24" s="12">
        <v>5</v>
      </c>
      <c r="V24" s="12">
        <v>5</v>
      </c>
      <c r="W24" s="12">
        <v>0</v>
      </c>
      <c r="X24" s="12">
        <v>100</v>
      </c>
      <c r="Y24" s="12">
        <f>AVERAGE(26,26,29,27,25,28,24,26,26,29,30,26,25,27,25,24,26,26,28,27)</f>
        <v>26.5</v>
      </c>
      <c r="Z24" s="13">
        <v>5</v>
      </c>
      <c r="AA24" s="23">
        <v>10</v>
      </c>
      <c r="AC24" s="12">
        <v>1</v>
      </c>
      <c r="AD24" s="12" t="s">
        <v>157</v>
      </c>
      <c r="AE24" t="s">
        <v>155</v>
      </c>
      <c r="AF24" s="12">
        <v>0.51</v>
      </c>
      <c r="AG24" s="12">
        <v>0.37</v>
      </c>
      <c r="AH24" s="23">
        <v>1</v>
      </c>
      <c r="AI24" s="12">
        <v>100</v>
      </c>
      <c r="AJ24" s="12">
        <v>0</v>
      </c>
      <c r="AK24" s="12">
        <v>0</v>
      </c>
      <c r="AL24" s="22">
        <v>85</v>
      </c>
      <c r="AM24" s="12">
        <v>7.5</v>
      </c>
      <c r="AN24" s="12">
        <v>0</v>
      </c>
      <c r="AO24" s="12">
        <v>7.5</v>
      </c>
      <c r="AP24" s="12">
        <v>0</v>
      </c>
      <c r="AQ24" s="12">
        <v>40</v>
      </c>
      <c r="AR24" s="12">
        <f>AVERAGE(27,27,28,29,30,29,27,28,23,30,29,29.5,27,28,28,28.5,27,29,30,27)</f>
        <v>28.05</v>
      </c>
      <c r="AS24" s="13">
        <v>5</v>
      </c>
      <c r="AT24" s="23">
        <v>0</v>
      </c>
    </row>
    <row r="25" spans="1:46" x14ac:dyDescent="0.2">
      <c r="A25" s="22">
        <v>55</v>
      </c>
      <c r="B25" s="12">
        <v>1</v>
      </c>
      <c r="C25" s="12" t="s">
        <v>14</v>
      </c>
      <c r="D25" s="12">
        <v>0.53</v>
      </c>
      <c r="E25" s="12">
        <v>0.3</v>
      </c>
      <c r="F25" s="23">
        <v>0.8</v>
      </c>
      <c r="G25" s="12">
        <v>100</v>
      </c>
      <c r="H25" s="12">
        <v>0</v>
      </c>
      <c r="I25" s="12">
        <v>0</v>
      </c>
      <c r="J25" s="22">
        <v>90</v>
      </c>
      <c r="K25" s="12">
        <v>5</v>
      </c>
      <c r="L25" s="12">
        <v>0</v>
      </c>
      <c r="M25" s="12">
        <v>5</v>
      </c>
      <c r="N25" s="12">
        <v>0</v>
      </c>
      <c r="O25" s="12">
        <v>30</v>
      </c>
      <c r="P25" s="12">
        <f>AVERAGE(24,29,29,27,28,26,28,30,29,28,27,28,30,29,27,27,29,30,27,28)</f>
        <v>28</v>
      </c>
      <c r="Q25" s="13">
        <v>4</v>
      </c>
      <c r="R25" s="23">
        <v>5</v>
      </c>
      <c r="S25" s="12">
        <v>90</v>
      </c>
      <c r="T25" s="12">
        <v>10</v>
      </c>
      <c r="U25" s="12">
        <v>0</v>
      </c>
      <c r="V25" s="12">
        <v>0</v>
      </c>
      <c r="W25" s="12">
        <v>0</v>
      </c>
      <c r="X25" s="12">
        <v>40</v>
      </c>
      <c r="Y25" s="12">
        <f>AVERAGE(25,21,27,30,23,28,27,26,29,26,28,25,23,30,25,27,28,27,29,30)</f>
        <v>26.7</v>
      </c>
      <c r="Z25" s="13">
        <v>4</v>
      </c>
      <c r="AA25" s="23">
        <v>5</v>
      </c>
      <c r="AC25" s="12">
        <v>1</v>
      </c>
      <c r="AD25" s="12" t="s">
        <v>14</v>
      </c>
      <c r="AE25" t="s">
        <v>155</v>
      </c>
      <c r="AF25" s="12">
        <v>0.53</v>
      </c>
      <c r="AG25" s="12">
        <v>0.3</v>
      </c>
      <c r="AH25" s="23">
        <v>0.8</v>
      </c>
      <c r="AI25" s="12">
        <v>100</v>
      </c>
      <c r="AJ25" s="12">
        <v>0</v>
      </c>
      <c r="AK25" s="12">
        <v>0</v>
      </c>
      <c r="AL25" s="22">
        <v>90</v>
      </c>
      <c r="AM25" s="12">
        <v>5</v>
      </c>
      <c r="AN25" s="12">
        <v>0</v>
      </c>
      <c r="AO25" s="12">
        <v>5</v>
      </c>
      <c r="AP25" s="12">
        <v>0</v>
      </c>
      <c r="AQ25" s="12">
        <v>30</v>
      </c>
      <c r="AR25" s="12">
        <f>AVERAGE(24,29,29,27,28,26,28,30,29,28,27,28,30,29,27,27,29,30,27,28)</f>
        <v>28</v>
      </c>
      <c r="AS25" s="13">
        <v>4</v>
      </c>
      <c r="AT25" s="23">
        <v>5</v>
      </c>
    </row>
    <row r="26" spans="1:46" x14ac:dyDescent="0.2">
      <c r="A26" s="22">
        <v>56</v>
      </c>
      <c r="B26" s="12">
        <v>1</v>
      </c>
      <c r="C26" s="12" t="s">
        <v>134</v>
      </c>
      <c r="D26" s="12">
        <v>0.56000000000000005</v>
      </c>
      <c r="E26" s="12">
        <v>0.36</v>
      </c>
      <c r="F26" s="23">
        <v>0.78</v>
      </c>
      <c r="G26" s="12">
        <v>100</v>
      </c>
      <c r="H26" s="12">
        <v>0</v>
      </c>
      <c r="I26" s="12">
        <v>0</v>
      </c>
      <c r="J26" s="22">
        <v>85</v>
      </c>
      <c r="K26" s="12">
        <v>10</v>
      </c>
      <c r="L26" s="12">
        <v>0</v>
      </c>
      <c r="M26" s="12">
        <v>5</v>
      </c>
      <c r="N26" s="12">
        <v>0</v>
      </c>
      <c r="O26" s="12">
        <v>35</v>
      </c>
      <c r="P26" s="12">
        <f>AVERAGE(26,29,26,27,27,25,25.5,29,28,25,26,27,25,28,30,25,27,26,28,29)</f>
        <v>26.925000000000001</v>
      </c>
      <c r="Q26" s="13">
        <v>4</v>
      </c>
      <c r="R26" s="23">
        <v>5</v>
      </c>
      <c r="S26" s="12">
        <v>85</v>
      </c>
      <c r="T26" s="12">
        <v>15</v>
      </c>
      <c r="U26" s="12">
        <v>0</v>
      </c>
      <c r="V26" s="12">
        <v>5</v>
      </c>
      <c r="W26" s="12">
        <v>0</v>
      </c>
      <c r="X26" s="12">
        <v>70</v>
      </c>
      <c r="Y26" s="12">
        <f>AVERAGE(24,26,24,28,28,25,22,27,26,25,29,28,29,24,30,27,29,26,28,27)</f>
        <v>26.6</v>
      </c>
      <c r="Z26" s="13">
        <v>5</v>
      </c>
      <c r="AA26" s="23">
        <v>5</v>
      </c>
      <c r="AC26" s="12">
        <v>1</v>
      </c>
      <c r="AD26" s="12" t="s">
        <v>134</v>
      </c>
      <c r="AE26" t="s">
        <v>155</v>
      </c>
      <c r="AF26" s="12">
        <v>0.56000000000000005</v>
      </c>
      <c r="AG26" s="12">
        <v>0.36</v>
      </c>
      <c r="AH26" s="23">
        <v>0.78</v>
      </c>
      <c r="AI26" s="12">
        <v>100</v>
      </c>
      <c r="AJ26" s="12">
        <v>0</v>
      </c>
      <c r="AK26" s="12">
        <v>0</v>
      </c>
      <c r="AL26" s="22">
        <v>85</v>
      </c>
      <c r="AM26" s="12">
        <v>10</v>
      </c>
      <c r="AN26" s="12">
        <v>0</v>
      </c>
      <c r="AO26" s="12">
        <v>5</v>
      </c>
      <c r="AP26" s="12">
        <v>0</v>
      </c>
      <c r="AQ26" s="12">
        <v>35</v>
      </c>
      <c r="AR26" s="12">
        <f>AVERAGE(26,29,26,27,27,25,25.5,29,28,25,26,27,25,28,30,25,27,26,28,29)</f>
        <v>26.925000000000001</v>
      </c>
      <c r="AS26" s="13">
        <v>4</v>
      </c>
      <c r="AT26" s="23">
        <v>5</v>
      </c>
    </row>
    <row r="27" spans="1:46" x14ac:dyDescent="0.2">
      <c r="A27" s="22">
        <v>57</v>
      </c>
      <c r="B27" s="12">
        <v>1</v>
      </c>
      <c r="C27" s="12" t="s">
        <v>157</v>
      </c>
      <c r="D27" s="12">
        <v>0.53</v>
      </c>
      <c r="E27" s="12">
        <v>0.2</v>
      </c>
      <c r="F27" s="23">
        <v>1</v>
      </c>
      <c r="G27" s="12">
        <v>100</v>
      </c>
      <c r="H27" s="12">
        <v>0</v>
      </c>
      <c r="I27" s="12">
        <v>0</v>
      </c>
      <c r="J27" s="22">
        <v>85</v>
      </c>
      <c r="K27" s="12">
        <v>10</v>
      </c>
      <c r="L27" s="12">
        <v>0</v>
      </c>
      <c r="M27" s="12">
        <v>5</v>
      </c>
      <c r="N27" s="12">
        <v>0</v>
      </c>
      <c r="O27" s="12">
        <v>40</v>
      </c>
      <c r="P27" s="12">
        <f>AVERAGE(29,25,27,27,26,28,27,30,25,26,27,26,28,25,27,29,28,28,26,25)</f>
        <v>26.95</v>
      </c>
      <c r="Q27" s="13">
        <v>5</v>
      </c>
      <c r="R27" s="23">
        <v>0</v>
      </c>
      <c r="S27" s="12">
        <v>100</v>
      </c>
      <c r="T27" s="12">
        <v>0</v>
      </c>
      <c r="U27" s="12">
        <v>0</v>
      </c>
      <c r="V27" s="12">
        <v>0</v>
      </c>
      <c r="W27" s="12">
        <v>0</v>
      </c>
      <c r="X27" s="12">
        <v>80</v>
      </c>
      <c r="Y27" s="12">
        <f>AVERAGE(25,26,30,28,27,29,26,26,23,29,26,28,25,27,27,25,26,28,28,27.5)</f>
        <v>26.824999999999999</v>
      </c>
      <c r="Z27" s="13">
        <v>5</v>
      </c>
      <c r="AA27" s="23">
        <v>10</v>
      </c>
      <c r="AC27" s="12">
        <v>1</v>
      </c>
      <c r="AD27" s="12" t="s">
        <v>157</v>
      </c>
      <c r="AE27" t="s">
        <v>155</v>
      </c>
      <c r="AF27" s="12">
        <v>0.53</v>
      </c>
      <c r="AG27" s="12">
        <v>0.2</v>
      </c>
      <c r="AH27" s="23">
        <v>1</v>
      </c>
      <c r="AI27" s="12">
        <v>100</v>
      </c>
      <c r="AJ27" s="12">
        <v>0</v>
      </c>
      <c r="AK27" s="12">
        <v>0</v>
      </c>
      <c r="AL27" s="22">
        <v>85</v>
      </c>
      <c r="AM27" s="12">
        <v>10</v>
      </c>
      <c r="AN27" s="12">
        <v>0</v>
      </c>
      <c r="AO27" s="12">
        <v>5</v>
      </c>
      <c r="AP27" s="12">
        <v>0</v>
      </c>
      <c r="AQ27" s="12">
        <v>40</v>
      </c>
      <c r="AR27" s="12">
        <f>AVERAGE(29,25,27,27,26,28,27,30,25,26,27,26,28,25,27,29,28,28,26,25)</f>
        <v>26.95</v>
      </c>
      <c r="AS27" s="13">
        <v>5</v>
      </c>
      <c r="AT27" s="23">
        <v>0</v>
      </c>
    </row>
    <row r="28" spans="1:46" x14ac:dyDescent="0.2">
      <c r="A28" s="22">
        <v>58</v>
      </c>
      <c r="B28" s="12">
        <v>1</v>
      </c>
      <c r="C28" s="12" t="s">
        <v>24</v>
      </c>
      <c r="D28" s="12">
        <v>0.49</v>
      </c>
      <c r="E28" s="12">
        <v>0.3</v>
      </c>
      <c r="F28" s="23">
        <v>1</v>
      </c>
      <c r="G28" s="12">
        <v>100</v>
      </c>
      <c r="H28" s="12">
        <v>0</v>
      </c>
      <c r="I28" s="12">
        <v>0</v>
      </c>
      <c r="J28" s="22">
        <v>60</v>
      </c>
      <c r="K28" s="12">
        <v>10</v>
      </c>
      <c r="L28" s="12">
        <v>30</v>
      </c>
      <c r="M28" s="12">
        <v>0</v>
      </c>
      <c r="N28" s="12">
        <v>0</v>
      </c>
      <c r="O28" s="12">
        <v>20</v>
      </c>
      <c r="P28" s="12">
        <f>AVERAGE(26,23,25,24.5,25.5,26,21,26,24,22,25.5,24.5,25,25,25.5,24,26,25,25,24.5)</f>
        <v>24.65</v>
      </c>
      <c r="Q28" s="13">
        <v>4</v>
      </c>
      <c r="R28" s="23">
        <v>5</v>
      </c>
      <c r="S28" s="12">
        <v>70</v>
      </c>
      <c r="T28" s="12">
        <v>0</v>
      </c>
      <c r="U28" s="12">
        <v>15</v>
      </c>
      <c r="V28" s="12">
        <v>15</v>
      </c>
      <c r="W28" s="12">
        <v>0</v>
      </c>
      <c r="X28" s="12">
        <v>20</v>
      </c>
      <c r="Y28" s="12">
        <f>AVERAGE(18,20,24,27,23,22,23,24,21,22,26,24,25,25,23,26,24,22,24,23)</f>
        <v>23.3</v>
      </c>
      <c r="Z28" s="13">
        <v>4</v>
      </c>
      <c r="AA28" s="23">
        <v>5</v>
      </c>
      <c r="AC28" s="12">
        <v>1</v>
      </c>
      <c r="AD28" s="12" t="s">
        <v>24</v>
      </c>
      <c r="AE28" t="s">
        <v>155</v>
      </c>
      <c r="AF28" s="12">
        <v>0.49</v>
      </c>
      <c r="AG28" s="12">
        <v>0.3</v>
      </c>
      <c r="AH28" s="23">
        <v>1</v>
      </c>
      <c r="AI28" s="12">
        <v>100</v>
      </c>
      <c r="AJ28" s="12">
        <v>0</v>
      </c>
      <c r="AK28" s="12">
        <v>0</v>
      </c>
      <c r="AL28" s="22">
        <v>60</v>
      </c>
      <c r="AM28" s="12">
        <v>10</v>
      </c>
      <c r="AN28" s="12">
        <v>30</v>
      </c>
      <c r="AO28" s="12">
        <v>0</v>
      </c>
      <c r="AP28" s="12">
        <v>0</v>
      </c>
      <c r="AQ28" s="12">
        <v>20</v>
      </c>
      <c r="AR28" s="12">
        <f>AVERAGE(26,23,25,24.5,25.5,26,21,26,24,22,25.5,24.5,25,25,25.5,24,26,25,25,24.5)</f>
        <v>24.65</v>
      </c>
      <c r="AS28" s="13">
        <v>4</v>
      </c>
      <c r="AT28" s="23">
        <v>5</v>
      </c>
    </row>
    <row r="29" spans="1:46" x14ac:dyDescent="0.2">
      <c r="A29" s="22">
        <v>59</v>
      </c>
      <c r="B29" s="12">
        <v>1</v>
      </c>
      <c r="C29" s="12" t="s">
        <v>157</v>
      </c>
      <c r="D29" s="12">
        <v>0.49</v>
      </c>
      <c r="E29" s="12">
        <v>0.6</v>
      </c>
      <c r="F29" s="23">
        <v>1</v>
      </c>
      <c r="G29" s="12">
        <v>40</v>
      </c>
      <c r="H29" s="12">
        <v>60</v>
      </c>
      <c r="I29" s="12">
        <v>0</v>
      </c>
      <c r="J29" s="22">
        <v>85</v>
      </c>
      <c r="K29" s="12">
        <v>5</v>
      </c>
      <c r="L29" s="12">
        <v>0</v>
      </c>
      <c r="M29" s="12">
        <v>5</v>
      </c>
      <c r="N29" s="12">
        <v>5</v>
      </c>
      <c r="O29" s="12">
        <v>50</v>
      </c>
      <c r="P29" s="12">
        <f>AVERAGE(19,24,17,15,23,25,22,17,18,16,15,19,20,21,20,24,18,25,17,22)</f>
        <v>19.850000000000001</v>
      </c>
      <c r="Q29" s="13">
        <v>4</v>
      </c>
      <c r="R29" s="23">
        <v>5</v>
      </c>
      <c r="S29" s="12">
        <v>80</v>
      </c>
      <c r="T29" s="12">
        <v>0</v>
      </c>
      <c r="U29" s="12">
        <v>0</v>
      </c>
      <c r="V29" s="12">
        <v>20</v>
      </c>
      <c r="W29" s="12">
        <v>0</v>
      </c>
      <c r="X29" s="12">
        <v>90</v>
      </c>
      <c r="Y29" s="12">
        <f>AVERAGE(24,22,25,18,26,20,21,22,18,24,19,20.5,18,21,20,22,18,20,19,20)</f>
        <v>20.875</v>
      </c>
      <c r="Z29" s="13">
        <v>5</v>
      </c>
      <c r="AA29" s="23">
        <v>5</v>
      </c>
      <c r="AC29" s="12">
        <v>1</v>
      </c>
      <c r="AD29" s="12" t="s">
        <v>157</v>
      </c>
      <c r="AE29" t="s">
        <v>155</v>
      </c>
      <c r="AF29" s="12">
        <v>0.49</v>
      </c>
      <c r="AG29" s="12">
        <v>0.6</v>
      </c>
      <c r="AH29" s="23">
        <v>1</v>
      </c>
      <c r="AI29" s="12">
        <v>40</v>
      </c>
      <c r="AJ29" s="12">
        <v>60</v>
      </c>
      <c r="AK29" s="12">
        <v>0</v>
      </c>
      <c r="AL29" s="22">
        <v>85</v>
      </c>
      <c r="AM29" s="12">
        <v>5</v>
      </c>
      <c r="AN29" s="12">
        <v>0</v>
      </c>
      <c r="AO29" s="12">
        <v>5</v>
      </c>
      <c r="AP29" s="12">
        <v>5</v>
      </c>
      <c r="AQ29" s="12">
        <v>50</v>
      </c>
      <c r="AR29" s="12">
        <f>AVERAGE(19,24,17,15,23,25,22,17,18,16,15,19,20,21,20,24,18,25,17,22)</f>
        <v>19.850000000000001</v>
      </c>
      <c r="AS29" s="13">
        <v>4</v>
      </c>
      <c r="AT29" s="23">
        <v>5</v>
      </c>
    </row>
    <row r="30" spans="1:46" x14ac:dyDescent="0.2">
      <c r="A30" s="22">
        <v>60</v>
      </c>
      <c r="B30" s="12">
        <v>1</v>
      </c>
      <c r="C30" s="12" t="s">
        <v>24</v>
      </c>
      <c r="D30" s="12">
        <v>0.54</v>
      </c>
      <c r="E30" s="12">
        <v>0.62</v>
      </c>
      <c r="F30" s="23">
        <v>1</v>
      </c>
      <c r="G30" s="12">
        <v>40</v>
      </c>
      <c r="H30" s="12">
        <v>60</v>
      </c>
      <c r="I30" s="12">
        <v>0</v>
      </c>
      <c r="J30" s="22">
        <v>75</v>
      </c>
      <c r="K30" s="12">
        <v>15</v>
      </c>
      <c r="L30" s="12">
        <v>0</v>
      </c>
      <c r="M30" s="12">
        <v>5</v>
      </c>
      <c r="N30" s="12">
        <v>5</v>
      </c>
      <c r="O30" s="12">
        <v>40</v>
      </c>
      <c r="P30" s="12">
        <f>AVERAGE(16,19,20,20,21,25,23,18,21,25,16,17,23,20,18,15,19,20,24,22)</f>
        <v>20.100000000000001</v>
      </c>
      <c r="Q30" s="13">
        <v>5</v>
      </c>
      <c r="R30" s="23">
        <v>5</v>
      </c>
      <c r="S30" s="12">
        <v>70</v>
      </c>
      <c r="T30" s="12">
        <v>10</v>
      </c>
      <c r="U30" s="12">
        <v>0</v>
      </c>
      <c r="V30" s="12">
        <v>10</v>
      </c>
      <c r="W30" s="12">
        <v>10</v>
      </c>
      <c r="X30" s="12">
        <v>90</v>
      </c>
      <c r="Y30" s="12">
        <f>AVERAGE(18,23,25,22,20,19,21,23,20,17,19,22,24,23,21.5,17,19,17,21,20)</f>
        <v>20.574999999999999</v>
      </c>
      <c r="Z30" s="13">
        <v>5</v>
      </c>
      <c r="AA30" s="23">
        <v>10</v>
      </c>
      <c r="AC30" s="12">
        <v>1</v>
      </c>
      <c r="AD30" s="12" t="s">
        <v>24</v>
      </c>
      <c r="AE30" t="s">
        <v>155</v>
      </c>
      <c r="AF30" s="12">
        <v>0.54</v>
      </c>
      <c r="AG30" s="12">
        <v>0.62</v>
      </c>
      <c r="AH30" s="23">
        <v>1</v>
      </c>
      <c r="AI30" s="12">
        <v>40</v>
      </c>
      <c r="AJ30" s="12">
        <v>60</v>
      </c>
      <c r="AK30" s="12">
        <v>0</v>
      </c>
      <c r="AL30" s="22">
        <v>75</v>
      </c>
      <c r="AM30" s="12">
        <v>15</v>
      </c>
      <c r="AN30" s="12">
        <v>0</v>
      </c>
      <c r="AO30" s="12">
        <v>5</v>
      </c>
      <c r="AP30" s="12">
        <v>5</v>
      </c>
      <c r="AQ30" s="12">
        <v>40</v>
      </c>
      <c r="AR30" s="12">
        <f>AVERAGE(16,19,20,20,21,25,23,18,21,25,16,17,23,20,18,15,19,20,24,22)</f>
        <v>20.100000000000001</v>
      </c>
      <c r="AS30" s="13">
        <v>5</v>
      </c>
      <c r="AT30" s="23">
        <v>5</v>
      </c>
    </row>
    <row r="31" spans="1:46" x14ac:dyDescent="0.2">
      <c r="A31" s="22">
        <v>61</v>
      </c>
      <c r="B31" s="12">
        <v>1</v>
      </c>
      <c r="C31" s="12" t="s">
        <v>134</v>
      </c>
      <c r="D31" s="12">
        <v>0.6</v>
      </c>
      <c r="E31" s="12">
        <v>0.52</v>
      </c>
      <c r="F31" s="23">
        <v>1</v>
      </c>
      <c r="G31" s="12">
        <v>80</v>
      </c>
      <c r="H31" s="12">
        <v>20</v>
      </c>
      <c r="I31" s="12">
        <v>0</v>
      </c>
      <c r="J31" s="22">
        <v>70</v>
      </c>
      <c r="K31" s="12">
        <v>20</v>
      </c>
      <c r="L31" s="12">
        <v>0</v>
      </c>
      <c r="M31" s="12">
        <v>5</v>
      </c>
      <c r="N31" s="12">
        <v>5</v>
      </c>
      <c r="O31" s="12">
        <v>30</v>
      </c>
      <c r="P31" s="12">
        <f>AVERAGE(19,17,20,19,15,18,18,16,16.5,19,17,19,20,19,15,16,18,17.5,15,19)</f>
        <v>17.649999999999999</v>
      </c>
      <c r="Q31" s="13">
        <v>4</v>
      </c>
      <c r="R31" s="23">
        <v>5</v>
      </c>
      <c r="S31" s="12">
        <v>70</v>
      </c>
      <c r="T31" s="12">
        <v>10</v>
      </c>
      <c r="U31" s="12">
        <v>0</v>
      </c>
      <c r="V31" s="12">
        <v>20</v>
      </c>
      <c r="W31" s="12">
        <v>0</v>
      </c>
      <c r="X31" s="12">
        <v>40</v>
      </c>
      <c r="Y31" s="12">
        <f>AVERAGE(16,21,24,22,20,18,23,22,23,17,19,17,20,21,18,16,19,20,22,20)</f>
        <v>19.899999999999999</v>
      </c>
      <c r="Z31" s="13">
        <v>5</v>
      </c>
      <c r="AA31" s="23">
        <v>10</v>
      </c>
      <c r="AC31" s="12">
        <v>1</v>
      </c>
      <c r="AD31" s="12" t="s">
        <v>134</v>
      </c>
      <c r="AE31" t="s">
        <v>155</v>
      </c>
      <c r="AF31" s="12">
        <v>0.6</v>
      </c>
      <c r="AG31" s="12">
        <v>0.52</v>
      </c>
      <c r="AH31" s="23">
        <v>1</v>
      </c>
      <c r="AI31" s="12">
        <v>80</v>
      </c>
      <c r="AJ31" s="12">
        <v>20</v>
      </c>
      <c r="AK31" s="12">
        <v>0</v>
      </c>
      <c r="AL31" s="22">
        <v>70</v>
      </c>
      <c r="AM31" s="12">
        <v>20</v>
      </c>
      <c r="AN31" s="12">
        <v>0</v>
      </c>
      <c r="AO31" s="12">
        <v>5</v>
      </c>
      <c r="AP31" s="12">
        <v>5</v>
      </c>
      <c r="AQ31" s="12">
        <v>30</v>
      </c>
      <c r="AR31" s="12">
        <f>AVERAGE(19,17,20,19,15,18,18,16,16.5,19,17,19,20,19,15,16,18,17.5,15,19)</f>
        <v>17.649999999999999</v>
      </c>
      <c r="AS31" s="13">
        <v>4</v>
      </c>
      <c r="AT31" s="23">
        <v>5</v>
      </c>
    </row>
    <row r="32" spans="1:46" x14ac:dyDescent="0.2">
      <c r="A32" s="22">
        <v>62</v>
      </c>
      <c r="B32" s="12">
        <v>1</v>
      </c>
      <c r="C32" s="12" t="s">
        <v>157</v>
      </c>
      <c r="D32" s="12">
        <v>0.49</v>
      </c>
      <c r="E32" s="12">
        <v>0.55000000000000004</v>
      </c>
      <c r="F32" s="23">
        <v>1</v>
      </c>
      <c r="G32" s="12">
        <v>100</v>
      </c>
      <c r="H32" s="12">
        <v>0</v>
      </c>
      <c r="I32" s="12">
        <v>0</v>
      </c>
      <c r="J32" s="22">
        <v>85</v>
      </c>
      <c r="K32" s="12">
        <v>10</v>
      </c>
      <c r="L32" s="12">
        <v>0</v>
      </c>
      <c r="M32" s="12">
        <v>0</v>
      </c>
      <c r="N32" s="12">
        <v>5</v>
      </c>
      <c r="O32" s="12">
        <v>45</v>
      </c>
      <c r="P32" s="12">
        <f>AVERAGE(24,23,27,21,25,26,25,22,20,27,26,27,21,22,24,26,21,20,25,23)</f>
        <v>23.75</v>
      </c>
      <c r="Q32" s="13">
        <v>4</v>
      </c>
      <c r="R32" s="23">
        <v>0</v>
      </c>
      <c r="S32" s="12">
        <v>85</v>
      </c>
      <c r="T32" s="12">
        <v>0</v>
      </c>
      <c r="U32" s="12">
        <v>0</v>
      </c>
      <c r="V32" s="12">
        <v>10</v>
      </c>
      <c r="W32" s="12">
        <v>5</v>
      </c>
      <c r="X32" s="12">
        <v>60</v>
      </c>
      <c r="Y32" s="12">
        <f>AVERAGE(20,26,22,24,20,23,21,20,21,25,26,24,23,22.5,18,25,21,26,19,19.5)</f>
        <v>22.3</v>
      </c>
      <c r="Z32" s="13">
        <v>5</v>
      </c>
      <c r="AA32" s="23">
        <v>7</v>
      </c>
      <c r="AC32" s="12">
        <v>1</v>
      </c>
      <c r="AD32" s="12" t="s">
        <v>157</v>
      </c>
      <c r="AE32" t="s">
        <v>155</v>
      </c>
      <c r="AF32" s="12">
        <v>0.49</v>
      </c>
      <c r="AG32" s="12">
        <v>0.55000000000000004</v>
      </c>
      <c r="AH32" s="23">
        <v>1</v>
      </c>
      <c r="AI32" s="12">
        <v>100</v>
      </c>
      <c r="AJ32" s="12">
        <v>0</v>
      </c>
      <c r="AK32" s="12">
        <v>0</v>
      </c>
      <c r="AL32" s="22">
        <v>85</v>
      </c>
      <c r="AM32" s="12">
        <v>10</v>
      </c>
      <c r="AN32" s="12">
        <v>0</v>
      </c>
      <c r="AO32" s="12">
        <v>0</v>
      </c>
      <c r="AP32" s="12">
        <v>5</v>
      </c>
      <c r="AQ32" s="12">
        <v>45</v>
      </c>
      <c r="AR32" s="12">
        <f>AVERAGE(24,23,27,21,25,26,25,22,20,27,26,27,21,22,24,26,21,20,25,23)</f>
        <v>23.75</v>
      </c>
      <c r="AS32" s="13">
        <v>4</v>
      </c>
      <c r="AT32" s="23">
        <v>0</v>
      </c>
    </row>
    <row r="33" spans="1:46" x14ac:dyDescent="0.2">
      <c r="A33" s="22">
        <v>63</v>
      </c>
      <c r="B33" s="12">
        <v>1</v>
      </c>
      <c r="C33" s="12" t="s">
        <v>24</v>
      </c>
      <c r="D33" s="12">
        <v>0.51</v>
      </c>
      <c r="E33" s="12">
        <v>0.67</v>
      </c>
      <c r="F33" s="23">
        <v>1</v>
      </c>
      <c r="G33" s="12">
        <v>100</v>
      </c>
      <c r="H33" s="12">
        <v>0</v>
      </c>
      <c r="I33" s="12">
        <v>0</v>
      </c>
      <c r="J33" s="22">
        <v>80</v>
      </c>
      <c r="K33" s="12">
        <v>10</v>
      </c>
      <c r="L33" s="12">
        <v>0</v>
      </c>
      <c r="M33" s="12">
        <v>10</v>
      </c>
      <c r="N33" s="12">
        <v>0</v>
      </c>
      <c r="O33" s="12">
        <v>55</v>
      </c>
      <c r="P33" s="12">
        <f>AVERAGE(24,16,18,18,15,22,21,25,23,20,19,18,16,19,22,25,23,21,20,17)</f>
        <v>20.100000000000001</v>
      </c>
      <c r="Q33" s="13">
        <v>3</v>
      </c>
      <c r="R33" s="23">
        <v>10</v>
      </c>
      <c r="S33" s="12">
        <v>75</v>
      </c>
      <c r="T33" s="12">
        <v>5</v>
      </c>
      <c r="U33" s="12">
        <v>0</v>
      </c>
      <c r="V33" s="12">
        <v>10</v>
      </c>
      <c r="W33" s="12">
        <v>10</v>
      </c>
      <c r="X33" s="12">
        <v>80</v>
      </c>
      <c r="Y33" s="12">
        <f>AVERAGE(21,18,22,17,23,22,24,19,22,21,18,17,23,25,22,25,18,16,25,23)</f>
        <v>21.05</v>
      </c>
      <c r="Z33" s="13">
        <v>4</v>
      </c>
      <c r="AA33" s="23">
        <v>12</v>
      </c>
      <c r="AC33" s="12">
        <v>1</v>
      </c>
      <c r="AD33" s="12" t="s">
        <v>24</v>
      </c>
      <c r="AE33" t="s">
        <v>155</v>
      </c>
      <c r="AF33" s="12">
        <v>0.51</v>
      </c>
      <c r="AG33" s="12">
        <v>0.67</v>
      </c>
      <c r="AH33" s="23">
        <v>1</v>
      </c>
      <c r="AI33" s="12">
        <v>100</v>
      </c>
      <c r="AJ33" s="12">
        <v>0</v>
      </c>
      <c r="AK33" s="12">
        <v>0</v>
      </c>
      <c r="AL33" s="22">
        <v>80</v>
      </c>
      <c r="AM33" s="12">
        <v>10</v>
      </c>
      <c r="AN33" s="12">
        <v>0</v>
      </c>
      <c r="AO33" s="12">
        <v>10</v>
      </c>
      <c r="AP33" s="12">
        <v>0</v>
      </c>
      <c r="AQ33" s="12">
        <v>55</v>
      </c>
      <c r="AR33" s="12">
        <f>AVERAGE(24,16,18,18,15,22,21,25,23,20,19,18,16,19,22,25,23,21,20,17)</f>
        <v>20.100000000000001</v>
      </c>
      <c r="AS33" s="13">
        <v>3</v>
      </c>
      <c r="AT33" s="23">
        <v>10</v>
      </c>
    </row>
    <row r="34" spans="1:46" x14ac:dyDescent="0.2">
      <c r="A34" s="22">
        <v>64</v>
      </c>
      <c r="B34" s="12">
        <v>1</v>
      </c>
      <c r="C34" s="12" t="s">
        <v>134</v>
      </c>
      <c r="D34" s="12">
        <v>0.45</v>
      </c>
      <c r="E34" s="12">
        <v>0.32</v>
      </c>
      <c r="F34" s="23">
        <v>1</v>
      </c>
      <c r="G34" s="12">
        <v>100</v>
      </c>
      <c r="H34" s="12">
        <v>0</v>
      </c>
      <c r="I34" s="12">
        <v>0</v>
      </c>
      <c r="J34" s="22">
        <v>90</v>
      </c>
      <c r="K34" s="12">
        <v>5</v>
      </c>
      <c r="L34" s="12">
        <v>0</v>
      </c>
      <c r="M34" s="12">
        <v>2.5</v>
      </c>
      <c r="N34" s="12">
        <v>2.5</v>
      </c>
      <c r="O34" s="12">
        <v>20</v>
      </c>
      <c r="P34" s="12">
        <f>AVERAGE(27,26,27,25,25,29,28,27,28.5,30,29,26,27,28,28,25,27,29,25,26.5)</f>
        <v>27.15</v>
      </c>
      <c r="Q34" s="13">
        <v>4</v>
      </c>
      <c r="R34" s="23">
        <v>5</v>
      </c>
      <c r="S34" s="12">
        <v>70</v>
      </c>
      <c r="T34" s="12">
        <v>20</v>
      </c>
      <c r="U34" s="12">
        <v>0</v>
      </c>
      <c r="V34" s="12">
        <v>10</v>
      </c>
      <c r="W34" s="12">
        <v>0</v>
      </c>
      <c r="X34" s="12">
        <v>30</v>
      </c>
      <c r="Y34" s="12">
        <f>AVERAGE(26,29,29,30, 26,25,27,28,27,28,26,25.5,24,27,26,28,27,30, 27,29)</f>
        <v>27.225000000000001</v>
      </c>
      <c r="Z34" s="13">
        <v>6</v>
      </c>
      <c r="AA34" s="23">
        <v>8</v>
      </c>
      <c r="AC34" s="12">
        <v>1</v>
      </c>
      <c r="AD34" s="12" t="s">
        <v>134</v>
      </c>
      <c r="AE34" t="s">
        <v>155</v>
      </c>
      <c r="AF34" s="12">
        <v>0.45</v>
      </c>
      <c r="AG34" s="12">
        <v>0.32</v>
      </c>
      <c r="AH34" s="23">
        <v>1</v>
      </c>
      <c r="AI34" s="12">
        <v>100</v>
      </c>
      <c r="AJ34" s="12">
        <v>0</v>
      </c>
      <c r="AK34" s="12">
        <v>0</v>
      </c>
      <c r="AL34" s="22">
        <v>90</v>
      </c>
      <c r="AM34" s="12">
        <v>5</v>
      </c>
      <c r="AN34" s="12">
        <v>0</v>
      </c>
      <c r="AO34" s="12">
        <v>2.5</v>
      </c>
      <c r="AP34" s="12">
        <v>2.5</v>
      </c>
      <c r="AQ34" s="12">
        <v>20</v>
      </c>
      <c r="AR34" s="12">
        <f>AVERAGE(27,26,27,25,25,29,28,27,28.5,30,29,26,27,28,28,25,27,29,25,26.5)</f>
        <v>27.15</v>
      </c>
      <c r="AS34" s="13">
        <v>4</v>
      </c>
      <c r="AT34" s="23">
        <v>5</v>
      </c>
    </row>
    <row r="35" spans="1:46" x14ac:dyDescent="0.2">
      <c r="A35" s="24">
        <v>65</v>
      </c>
      <c r="B35" s="10">
        <v>2</v>
      </c>
      <c r="C35" s="10" t="s">
        <v>14</v>
      </c>
      <c r="D35" s="10">
        <v>0.13</v>
      </c>
      <c r="E35" s="10">
        <v>0.59</v>
      </c>
      <c r="F35" s="11">
        <v>1</v>
      </c>
      <c r="G35" s="10">
        <v>100</v>
      </c>
      <c r="H35" s="10">
        <v>0</v>
      </c>
      <c r="I35" s="10">
        <v>0</v>
      </c>
      <c r="J35" s="24">
        <v>90</v>
      </c>
      <c r="K35" s="10">
        <v>10</v>
      </c>
      <c r="L35" s="10">
        <v>0</v>
      </c>
      <c r="M35" s="10">
        <v>0</v>
      </c>
      <c r="N35" s="10">
        <v>0</v>
      </c>
      <c r="O35" s="10">
        <v>5</v>
      </c>
      <c r="P35" s="10">
        <f>AVERAGE(11,10,16,8,15,13,9,8,9,10,11,13,12,9,8,7,14,12,10,9)</f>
        <v>10.7</v>
      </c>
      <c r="Q35" s="14">
        <v>3</v>
      </c>
      <c r="R35" s="11">
        <v>0</v>
      </c>
      <c r="S35" s="10">
        <v>90</v>
      </c>
      <c r="T35" s="10">
        <v>10</v>
      </c>
      <c r="U35" s="10">
        <v>0</v>
      </c>
      <c r="V35" s="10">
        <v>0</v>
      </c>
      <c r="W35" s="10">
        <v>0</v>
      </c>
      <c r="X35" s="10">
        <v>10</v>
      </c>
      <c r="Y35" s="10">
        <f>AVERAGE(13,10,9,11,13,14,12,11,10,12,14,10,9,13,12,15,10,10,11,10)</f>
        <v>11.45</v>
      </c>
      <c r="Z35" s="14">
        <v>4</v>
      </c>
      <c r="AA35" s="11">
        <v>0</v>
      </c>
      <c r="AC35" s="12">
        <v>1</v>
      </c>
      <c r="AD35" s="12" t="s">
        <v>14</v>
      </c>
      <c r="AE35" t="s">
        <v>156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 s="12">
        <v>60</v>
      </c>
      <c r="AM35" s="12">
        <v>20</v>
      </c>
      <c r="AN35" s="12">
        <v>0</v>
      </c>
      <c r="AO35" s="12">
        <v>10</v>
      </c>
      <c r="AP35" s="12">
        <v>10</v>
      </c>
      <c r="AQ35" s="12">
        <v>70</v>
      </c>
      <c r="AR35" s="12">
        <f>(14+17+23+18+12+17+13+16+14+13+17+18+19+22+21+15+18+17+20+23)/20</f>
        <v>17.350000000000001</v>
      </c>
      <c r="AS35" s="13">
        <v>4</v>
      </c>
      <c r="AT35" s="23">
        <v>5</v>
      </c>
    </row>
    <row r="36" spans="1:46" x14ac:dyDescent="0.2">
      <c r="A36" s="22">
        <v>66</v>
      </c>
      <c r="B36" s="12">
        <v>2</v>
      </c>
      <c r="C36" s="12" t="s">
        <v>14</v>
      </c>
      <c r="D36" s="12">
        <v>0.17</v>
      </c>
      <c r="E36" s="12">
        <v>0.46</v>
      </c>
      <c r="F36" s="23">
        <v>0.53</v>
      </c>
      <c r="G36" s="12">
        <v>100</v>
      </c>
      <c r="H36" s="12">
        <v>0</v>
      </c>
      <c r="I36" s="12">
        <v>0</v>
      </c>
      <c r="J36" s="22">
        <v>75</v>
      </c>
      <c r="K36" s="12">
        <v>25</v>
      </c>
      <c r="L36" s="12">
        <v>0</v>
      </c>
      <c r="M36" s="12">
        <v>0</v>
      </c>
      <c r="N36" s="12">
        <v>0</v>
      </c>
      <c r="O36" s="12">
        <v>20</v>
      </c>
      <c r="P36" s="12">
        <f>AVERAGE(10,6,8,11,9,8,9,12,7,8,9,14,10,15,12,8,10,11,13,9)</f>
        <v>9.9499999999999993</v>
      </c>
      <c r="Q36" s="13">
        <v>3</v>
      </c>
      <c r="R36" s="23">
        <v>0</v>
      </c>
      <c r="S36" s="12">
        <v>75</v>
      </c>
      <c r="T36" s="12">
        <v>25</v>
      </c>
      <c r="U36" s="12">
        <v>0</v>
      </c>
      <c r="V36" s="12">
        <v>0</v>
      </c>
      <c r="W36" s="12">
        <v>0</v>
      </c>
      <c r="X36" s="12">
        <v>20</v>
      </c>
      <c r="Y36" s="12">
        <f>AVERAGE(12,11,10,8,14,13,16,13,9,12,8,9,14,16,9,11,13,13,15,12)</f>
        <v>11.9</v>
      </c>
      <c r="Z36" s="13">
        <v>3</v>
      </c>
      <c r="AA36" s="23">
        <v>0</v>
      </c>
      <c r="AC36" s="12">
        <v>1</v>
      </c>
      <c r="AD36" s="12" t="s">
        <v>157</v>
      </c>
      <c r="AE36" t="s">
        <v>156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 s="12">
        <v>70</v>
      </c>
      <c r="AM36" s="12">
        <v>5</v>
      </c>
      <c r="AN36" s="12">
        <v>0</v>
      </c>
      <c r="AO36" s="12">
        <v>15</v>
      </c>
      <c r="AP36" s="12">
        <v>10</v>
      </c>
      <c r="AQ36" s="12">
        <v>60</v>
      </c>
      <c r="AR36" s="12">
        <f>AVERAGE(23,28,17,24,25,26,19,20,20,28,18,27,19,22,23,20,24,23,17,26)</f>
        <v>22.45</v>
      </c>
      <c r="AS36" s="13">
        <v>4</v>
      </c>
      <c r="AT36" s="23">
        <v>0</v>
      </c>
    </row>
    <row r="37" spans="1:46" x14ac:dyDescent="0.2">
      <c r="A37" s="22">
        <v>67</v>
      </c>
      <c r="B37" s="12">
        <v>2</v>
      </c>
      <c r="C37" s="12" t="s">
        <v>14</v>
      </c>
      <c r="D37" s="12">
        <v>0.12</v>
      </c>
      <c r="E37" s="12">
        <v>0.56000000000000005</v>
      </c>
      <c r="F37" s="23">
        <v>1</v>
      </c>
      <c r="G37" s="12">
        <v>100</v>
      </c>
      <c r="H37" s="12">
        <v>0</v>
      </c>
      <c r="I37" s="12">
        <v>0</v>
      </c>
      <c r="J37" s="22">
        <v>97</v>
      </c>
      <c r="K37" s="12">
        <v>3</v>
      </c>
      <c r="L37" s="12">
        <v>0</v>
      </c>
      <c r="M37" s="12">
        <v>0</v>
      </c>
      <c r="N37" s="12">
        <v>0</v>
      </c>
      <c r="O37" s="12">
        <v>20</v>
      </c>
      <c r="P37" s="12">
        <f>AVERAGE(10,9,8,12,10.5,13,9.5,11,9,14,13,11,10,12,13,12.5,11,13,15,13)</f>
        <v>11.475</v>
      </c>
      <c r="Q37" s="13">
        <v>3</v>
      </c>
      <c r="R37" s="23">
        <v>0</v>
      </c>
      <c r="S37" s="12">
        <v>80</v>
      </c>
      <c r="T37" s="12">
        <v>20</v>
      </c>
      <c r="U37" s="12">
        <v>0</v>
      </c>
      <c r="V37" s="12">
        <v>0</v>
      </c>
      <c r="W37" s="12">
        <v>0</v>
      </c>
      <c r="X37" s="12">
        <v>25</v>
      </c>
      <c r="Y37" s="12">
        <f>AVERAGE(13,17,11,11,16,15,10,9,9,12,16,15,14,14,12,9,10,13,14,16)</f>
        <v>12.8</v>
      </c>
      <c r="Z37" s="13">
        <v>3</v>
      </c>
      <c r="AA37" s="23">
        <v>0</v>
      </c>
      <c r="AC37" s="12">
        <v>1</v>
      </c>
      <c r="AD37" s="12" t="s">
        <v>158</v>
      </c>
      <c r="AE37" t="s">
        <v>156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 s="12">
        <v>70</v>
      </c>
      <c r="AM37" s="12">
        <v>5</v>
      </c>
      <c r="AN37" s="12">
        <v>0</v>
      </c>
      <c r="AO37" s="12">
        <v>15</v>
      </c>
      <c r="AP37" s="12">
        <v>10</v>
      </c>
      <c r="AQ37" s="12">
        <v>37</v>
      </c>
      <c r="AR37" s="12">
        <f>AVERAGE(24,24,21,29,21,26,25.5,28,27,29,30,25,22,24,20,25,20,28,26)</f>
        <v>24.973684210526315</v>
      </c>
      <c r="AS37" s="13">
        <v>4</v>
      </c>
      <c r="AT37" s="23">
        <v>10</v>
      </c>
    </row>
    <row r="38" spans="1:46" x14ac:dyDescent="0.2">
      <c r="A38" s="22">
        <v>68</v>
      </c>
      <c r="B38" s="12">
        <v>2</v>
      </c>
      <c r="C38" s="12" t="s">
        <v>14</v>
      </c>
      <c r="D38" s="12">
        <v>0.16</v>
      </c>
      <c r="E38" s="12">
        <v>0.56999999999999995</v>
      </c>
      <c r="F38" s="23">
        <v>1</v>
      </c>
      <c r="G38" s="12">
        <v>100</v>
      </c>
      <c r="H38" s="12">
        <v>0</v>
      </c>
      <c r="I38" s="12">
        <v>0</v>
      </c>
      <c r="J38" s="22">
        <v>75</v>
      </c>
      <c r="K38" s="12">
        <v>25</v>
      </c>
      <c r="L38" s="12">
        <v>0</v>
      </c>
      <c r="M38" s="12">
        <v>0</v>
      </c>
      <c r="N38" s="12">
        <v>0</v>
      </c>
      <c r="O38" s="12">
        <v>5</v>
      </c>
      <c r="P38" s="12">
        <f>AVERAGE(10,15,9,12,13,8,7,11,9,15,9,18,10,13,7,9,12,14,12,13)</f>
        <v>11.3</v>
      </c>
      <c r="Q38" s="13">
        <v>4</v>
      </c>
      <c r="R38" s="23">
        <v>0</v>
      </c>
      <c r="S38" s="12">
        <v>65</v>
      </c>
      <c r="T38" s="12">
        <v>35</v>
      </c>
      <c r="U38" s="12">
        <v>0</v>
      </c>
      <c r="V38" s="12">
        <v>0</v>
      </c>
      <c r="W38" s="12">
        <v>0</v>
      </c>
      <c r="X38" s="12">
        <v>10</v>
      </c>
      <c r="Y38" s="12">
        <f>AVERAGE(12,15,14,14,10,11,10,12,12,17,16,13,13,11,10,11,14,15,12,12)</f>
        <v>12.7</v>
      </c>
      <c r="Z38" s="13">
        <v>4</v>
      </c>
      <c r="AA38" s="23">
        <v>0</v>
      </c>
      <c r="AC38" s="12">
        <v>1</v>
      </c>
      <c r="AD38" s="12" t="s">
        <v>14</v>
      </c>
      <c r="AE38" t="s">
        <v>156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 s="12">
        <v>75</v>
      </c>
      <c r="AM38" s="12">
        <v>10</v>
      </c>
      <c r="AN38" s="12">
        <v>0</v>
      </c>
      <c r="AO38" s="12">
        <v>10</v>
      </c>
      <c r="AP38" s="12">
        <v>5</v>
      </c>
      <c r="AQ38" s="12">
        <v>80</v>
      </c>
      <c r="AR38" s="12">
        <f>AVERAGE(22,28,26,25,26.5,22,20,28,21,22,27,24,23,24,20,29,23,23,28,21)</f>
        <v>24.125</v>
      </c>
      <c r="AS38" s="13">
        <v>4</v>
      </c>
      <c r="AT38" s="23">
        <v>5</v>
      </c>
    </row>
    <row r="39" spans="1:46" x14ac:dyDescent="0.2">
      <c r="A39" s="22">
        <v>69</v>
      </c>
      <c r="B39" s="12">
        <v>2</v>
      </c>
      <c r="C39" s="12" t="s">
        <v>14</v>
      </c>
      <c r="D39" s="12">
        <v>0.13</v>
      </c>
      <c r="E39" s="12">
        <v>0.46</v>
      </c>
      <c r="F39" s="23">
        <v>0.85</v>
      </c>
      <c r="G39" s="12">
        <v>100</v>
      </c>
      <c r="H39" s="12">
        <v>0</v>
      </c>
      <c r="I39" s="12">
        <v>0</v>
      </c>
      <c r="J39" s="22">
        <v>70</v>
      </c>
      <c r="K39" s="12">
        <v>30</v>
      </c>
      <c r="L39" s="12">
        <v>0</v>
      </c>
      <c r="M39" s="12">
        <v>0</v>
      </c>
      <c r="N39" s="12">
        <v>0</v>
      </c>
      <c r="O39" s="12">
        <v>10</v>
      </c>
      <c r="P39" s="12">
        <f>AVERAGE(13,14,17,8,10,9,8,7,13,12.5,15,14,13.5,16,17,14,9,10,10.5,8)</f>
        <v>11.925000000000001</v>
      </c>
      <c r="Q39" s="13">
        <v>4</v>
      </c>
      <c r="R39" s="23">
        <v>0</v>
      </c>
      <c r="S39" s="12">
        <v>65</v>
      </c>
      <c r="T39" s="12">
        <v>35</v>
      </c>
      <c r="U39" s="12">
        <v>0</v>
      </c>
      <c r="V39" s="12">
        <v>0</v>
      </c>
      <c r="W39" s="12">
        <v>0</v>
      </c>
      <c r="X39" s="12">
        <v>5</v>
      </c>
      <c r="Y39" s="12">
        <f>AVERAGE(11,12,11,15,9,10,9,14,16,14.5,13,13,12,15,16,16,9,10,12,14)</f>
        <v>12.574999999999999</v>
      </c>
      <c r="Z39" s="13">
        <v>5</v>
      </c>
      <c r="AA39" s="23">
        <v>0</v>
      </c>
      <c r="AC39" s="12">
        <v>1</v>
      </c>
      <c r="AD39" s="12" t="s">
        <v>157</v>
      </c>
      <c r="AE39" t="s">
        <v>156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 s="12">
        <v>70</v>
      </c>
      <c r="AM39" s="12">
        <v>10</v>
      </c>
      <c r="AN39" s="12">
        <v>0</v>
      </c>
      <c r="AO39" s="12">
        <v>20</v>
      </c>
      <c r="AP39" s="12">
        <v>0</v>
      </c>
      <c r="AQ39" s="12">
        <v>50</v>
      </c>
      <c r="AR39" s="12">
        <f>AVERAGE(27,21,23,29,28,25,25,22,24,27,24,26.5,21,20,22,26,29,28,23,21)</f>
        <v>24.574999999999999</v>
      </c>
      <c r="AS39" s="13">
        <v>5</v>
      </c>
      <c r="AT39" s="23">
        <v>10</v>
      </c>
    </row>
    <row r="40" spans="1:46" x14ac:dyDescent="0.2">
      <c r="A40" s="22">
        <v>70</v>
      </c>
      <c r="B40" s="12">
        <v>2</v>
      </c>
      <c r="C40" s="12" t="s">
        <v>133</v>
      </c>
      <c r="D40" s="12">
        <v>0.14000000000000001</v>
      </c>
      <c r="E40" s="12">
        <v>0.6</v>
      </c>
      <c r="F40" s="23">
        <v>1</v>
      </c>
      <c r="G40" s="12">
        <v>100</v>
      </c>
      <c r="H40" s="12">
        <v>0</v>
      </c>
      <c r="I40" s="12">
        <v>0</v>
      </c>
      <c r="J40" s="22">
        <v>80</v>
      </c>
      <c r="K40" s="12">
        <v>20</v>
      </c>
      <c r="L40" s="12">
        <v>0</v>
      </c>
      <c r="M40" s="12">
        <v>0</v>
      </c>
      <c r="N40" s="12">
        <v>0</v>
      </c>
      <c r="O40" s="12">
        <v>15</v>
      </c>
      <c r="P40" s="12">
        <f>AVERAGE(12.5,16,14,13,10,9.5,13,15,8,12,14,13.5,10,11.5,12,12,9.5,15,13,11)</f>
        <v>12.225</v>
      </c>
      <c r="Q40" s="13">
        <v>3</v>
      </c>
      <c r="R40" s="23">
        <v>0</v>
      </c>
      <c r="S40" s="12">
        <v>80</v>
      </c>
      <c r="T40" s="12">
        <v>20</v>
      </c>
      <c r="U40" s="12">
        <v>0</v>
      </c>
      <c r="V40" s="12">
        <v>0</v>
      </c>
      <c r="W40" s="12">
        <v>0</v>
      </c>
      <c r="X40" s="12">
        <v>20</v>
      </c>
      <c r="Y40" s="12">
        <f>AVERAGE(14,14,12,11,10,10,13,13.5,15,11,12,15,12,10,12,13.5,15,12,10,12)</f>
        <v>12.35</v>
      </c>
      <c r="Z40" s="13">
        <v>3</v>
      </c>
      <c r="AA40" s="23">
        <v>0</v>
      </c>
      <c r="AC40" s="12">
        <v>1</v>
      </c>
      <c r="AD40" s="12" t="s">
        <v>134</v>
      </c>
      <c r="AE40" t="s">
        <v>156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 s="12">
        <v>80</v>
      </c>
      <c r="AM40" s="12">
        <v>10</v>
      </c>
      <c r="AN40" s="12">
        <v>0</v>
      </c>
      <c r="AO40" s="12">
        <v>0</v>
      </c>
      <c r="AP40" s="12">
        <v>10</v>
      </c>
      <c r="AQ40" s="12">
        <v>40</v>
      </c>
      <c r="AR40" s="12">
        <f>AVERAGE(24,22,20,22.5,26,26,24,23,21,20,21,24,27,26,23,23,28,25,24)</f>
        <v>23.657894736842106</v>
      </c>
      <c r="AS40" s="13">
        <v>5</v>
      </c>
      <c r="AT40" s="23">
        <v>7</v>
      </c>
    </row>
    <row r="41" spans="1:46" x14ac:dyDescent="0.2">
      <c r="A41" s="22">
        <v>71</v>
      </c>
      <c r="B41" s="12">
        <v>2</v>
      </c>
      <c r="C41" s="12" t="s">
        <v>133</v>
      </c>
      <c r="D41" s="12">
        <v>0.13</v>
      </c>
      <c r="E41" s="12">
        <v>0.55000000000000004</v>
      </c>
      <c r="F41" s="23">
        <v>0.66</v>
      </c>
      <c r="G41" s="12">
        <v>100</v>
      </c>
      <c r="H41" s="12">
        <v>0</v>
      </c>
      <c r="I41" s="12">
        <v>0</v>
      </c>
      <c r="J41" s="22">
        <v>95</v>
      </c>
      <c r="K41" s="12">
        <v>5</v>
      </c>
      <c r="L41" s="12">
        <v>0</v>
      </c>
      <c r="M41" s="12">
        <v>0</v>
      </c>
      <c r="N41" s="12">
        <v>0</v>
      </c>
      <c r="O41" s="12">
        <v>15</v>
      </c>
      <c r="P41" s="12">
        <f>AVERAGE(15,11,8,10,14,13,12,11,10,10,12.5,14,15,14.5,13,15,9,10,12,10,12)</f>
        <v>11.952380952380953</v>
      </c>
      <c r="Q41" s="13">
        <v>4</v>
      </c>
      <c r="R41" s="23">
        <v>0</v>
      </c>
      <c r="S41" s="12">
        <v>90</v>
      </c>
      <c r="T41" s="12">
        <v>10</v>
      </c>
      <c r="U41" s="12">
        <v>0</v>
      </c>
      <c r="V41" s="12">
        <v>0</v>
      </c>
      <c r="W41" s="12">
        <v>0</v>
      </c>
      <c r="X41" s="12">
        <v>15</v>
      </c>
      <c r="Y41" s="12">
        <f>AVERAGE(13,12,12,10,15,14,11,11,10,10,13,13,15,14,14,12,10,11,12,12.5)</f>
        <v>12.225</v>
      </c>
      <c r="Z41" s="13">
        <v>5</v>
      </c>
      <c r="AA41" s="23">
        <v>0</v>
      </c>
      <c r="AC41" s="12">
        <v>1</v>
      </c>
      <c r="AD41" s="12" t="s">
        <v>134</v>
      </c>
      <c r="AE41" t="s">
        <v>156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 s="12">
        <v>70</v>
      </c>
      <c r="AM41" s="12">
        <v>15</v>
      </c>
      <c r="AN41" s="12">
        <v>0</v>
      </c>
      <c r="AO41" s="12">
        <v>15</v>
      </c>
      <c r="AP41" s="12">
        <v>0</v>
      </c>
      <c r="AQ41" s="12">
        <v>30</v>
      </c>
      <c r="AR41" s="12">
        <f>AVERAGE(18,21,24,20,22,19,25,23,22,20,23,20,19,24,18,21,23,25,18,19)</f>
        <v>21.2</v>
      </c>
      <c r="AS41" s="13">
        <v>5</v>
      </c>
      <c r="AT41" s="23">
        <v>4</v>
      </c>
    </row>
    <row r="42" spans="1:46" x14ac:dyDescent="0.2">
      <c r="A42" s="22">
        <v>72</v>
      </c>
      <c r="B42" s="12">
        <v>2</v>
      </c>
      <c r="C42" s="12" t="s">
        <v>133</v>
      </c>
      <c r="D42" s="12">
        <v>0.19</v>
      </c>
      <c r="E42" s="12">
        <v>0.56000000000000005</v>
      </c>
      <c r="F42" s="23">
        <v>1</v>
      </c>
      <c r="G42" s="12">
        <v>100</v>
      </c>
      <c r="H42" s="12">
        <v>0</v>
      </c>
      <c r="I42" s="12">
        <v>0</v>
      </c>
      <c r="J42" s="22">
        <v>75</v>
      </c>
      <c r="K42" s="12">
        <v>25</v>
      </c>
      <c r="L42" s="12">
        <v>0</v>
      </c>
      <c r="M42" s="12">
        <v>0</v>
      </c>
      <c r="N42" s="12">
        <v>0</v>
      </c>
      <c r="O42" s="12">
        <v>15</v>
      </c>
      <c r="P42" s="12">
        <f>AVERAGE(14,13,10,8,10,9,8.5,13,10,12,15,10,13,11,13,14,7,9,9,14)</f>
        <v>11.125</v>
      </c>
      <c r="Q42" s="13">
        <v>3</v>
      </c>
      <c r="R42" s="23">
        <v>0</v>
      </c>
      <c r="S42" s="12">
        <v>85</v>
      </c>
      <c r="T42" s="12">
        <v>15</v>
      </c>
      <c r="U42" s="12">
        <v>0</v>
      </c>
      <c r="V42" s="12">
        <v>0</v>
      </c>
      <c r="W42" s="12">
        <v>0</v>
      </c>
      <c r="X42" s="12">
        <v>15</v>
      </c>
      <c r="Y42" s="12">
        <f>AVERAGE(15,13,13,11,17,12,14,14,8,11,8,9,17,16,12,15,11,13,13,14.5)</f>
        <v>12.824999999999999</v>
      </c>
      <c r="Z42" s="13">
        <v>4</v>
      </c>
      <c r="AA42" s="23">
        <v>0</v>
      </c>
      <c r="AC42" s="12">
        <v>1</v>
      </c>
      <c r="AD42" s="12" t="s">
        <v>157</v>
      </c>
      <c r="AE42" t="s">
        <v>156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 s="12">
        <v>60</v>
      </c>
      <c r="AM42" s="12">
        <v>20</v>
      </c>
      <c r="AN42" s="12">
        <v>0</v>
      </c>
      <c r="AO42" s="12">
        <v>10</v>
      </c>
      <c r="AP42" s="12">
        <v>10</v>
      </c>
      <c r="AQ42" s="12">
        <v>50</v>
      </c>
      <c r="AR42" s="12">
        <f>AVERAGE(17,20,22,19,24,21,25,23,22,21,20,20.5,18,23,17,18,24,22,20,19)</f>
        <v>20.774999999999999</v>
      </c>
      <c r="AS42" s="13">
        <v>5</v>
      </c>
      <c r="AT42" s="23">
        <v>8</v>
      </c>
    </row>
    <row r="43" spans="1:46" x14ac:dyDescent="0.2">
      <c r="A43" s="22">
        <v>73</v>
      </c>
      <c r="B43" s="12">
        <v>2</v>
      </c>
      <c r="C43" s="12" t="s">
        <v>133</v>
      </c>
      <c r="D43" s="12">
        <v>0.17</v>
      </c>
      <c r="E43" s="12">
        <v>0.53</v>
      </c>
      <c r="F43" s="23">
        <v>1</v>
      </c>
      <c r="G43" s="12">
        <v>100</v>
      </c>
      <c r="H43" s="12">
        <v>0</v>
      </c>
      <c r="I43" s="12">
        <v>0</v>
      </c>
      <c r="J43" s="22">
        <v>80</v>
      </c>
      <c r="K43" s="12">
        <v>20</v>
      </c>
      <c r="L43" s="12">
        <v>0</v>
      </c>
      <c r="M43" s="12">
        <v>0</v>
      </c>
      <c r="N43" s="12">
        <v>0</v>
      </c>
      <c r="O43" s="12">
        <v>15</v>
      </c>
      <c r="P43" s="12">
        <f>AVERAGE(9,9.5,11,7,13,12,12,14,15,10,9,15,12,14,13,11,10.5,9,13,11)</f>
        <v>11.5</v>
      </c>
      <c r="Q43" s="13">
        <v>4</v>
      </c>
      <c r="R43" s="23">
        <v>0</v>
      </c>
      <c r="S43" s="12">
        <v>95</v>
      </c>
      <c r="T43" s="12">
        <v>5</v>
      </c>
      <c r="U43" s="12">
        <v>0</v>
      </c>
      <c r="V43" s="12">
        <v>0</v>
      </c>
      <c r="W43" s="12">
        <v>0</v>
      </c>
      <c r="X43" s="12">
        <v>20</v>
      </c>
      <c r="Y43" s="12">
        <f>AVERAGE(14,15,13,13,12,11,8,10,9,10,12,13,16,16,14,8,12,13,11,16)</f>
        <v>12.3</v>
      </c>
      <c r="Z43" s="13">
        <v>4</v>
      </c>
      <c r="AA43" s="23">
        <v>0</v>
      </c>
      <c r="AC43" s="12">
        <v>1</v>
      </c>
      <c r="AD43" s="12" t="s">
        <v>14</v>
      </c>
      <c r="AE43" t="s">
        <v>156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 s="12">
        <v>75</v>
      </c>
      <c r="AM43" s="12">
        <v>10</v>
      </c>
      <c r="AN43" s="12">
        <v>0</v>
      </c>
      <c r="AO43" s="12">
        <v>15</v>
      </c>
      <c r="AP43" s="12">
        <v>0</v>
      </c>
      <c r="AQ43" s="12">
        <v>80</v>
      </c>
      <c r="AR43" s="12">
        <f>AVERAGE(26,19,20,25,24,26,21,23,18,20,24,27,23,20,18,20,26,19,23,27)</f>
        <v>22.45</v>
      </c>
      <c r="AS43" s="13">
        <v>5</v>
      </c>
      <c r="AT43" s="23">
        <v>5</v>
      </c>
    </row>
    <row r="44" spans="1:46" x14ac:dyDescent="0.2">
      <c r="A44" s="22">
        <v>74</v>
      </c>
      <c r="B44" s="12">
        <v>2</v>
      </c>
      <c r="C44" s="12" t="s">
        <v>133</v>
      </c>
      <c r="D44" s="12">
        <v>0.17</v>
      </c>
      <c r="E44" s="12">
        <v>0.53</v>
      </c>
      <c r="F44" s="23">
        <v>0.66</v>
      </c>
      <c r="G44" s="12">
        <v>100</v>
      </c>
      <c r="H44" s="12">
        <v>0</v>
      </c>
      <c r="I44" s="12">
        <v>0</v>
      </c>
      <c r="J44" s="22">
        <v>95</v>
      </c>
      <c r="K44" s="12">
        <v>5</v>
      </c>
      <c r="L44" s="12">
        <v>0</v>
      </c>
      <c r="M44" s="12">
        <v>0</v>
      </c>
      <c r="N44" s="12">
        <v>0</v>
      </c>
      <c r="O44" s="12">
        <v>20</v>
      </c>
      <c r="P44" s="12">
        <f>AVERAGE(13,10,10,11,9,8,12,14,13,16,13,12,8,10,11,7,15,12,10,10)</f>
        <v>11.2</v>
      </c>
      <c r="Q44" s="13">
        <v>3</v>
      </c>
      <c r="R44" s="23">
        <v>0</v>
      </c>
      <c r="S44" s="12">
        <v>95</v>
      </c>
      <c r="T44" s="12">
        <v>5</v>
      </c>
      <c r="U44" s="12">
        <v>0</v>
      </c>
      <c r="V44" s="12">
        <v>0</v>
      </c>
      <c r="W44" s="12">
        <v>0</v>
      </c>
      <c r="X44" s="12">
        <v>25</v>
      </c>
      <c r="Y44" s="12">
        <f>AVERAGE(14,11,12,15,14,13,8,10,7,12,9,14,15,8,10,11,15,14,13,12)</f>
        <v>11.85</v>
      </c>
      <c r="Z44" s="13">
        <v>4</v>
      </c>
      <c r="AA44" s="23">
        <v>0</v>
      </c>
      <c r="AC44" s="12">
        <v>1</v>
      </c>
      <c r="AD44" s="12" t="s">
        <v>134</v>
      </c>
      <c r="AE44" t="s">
        <v>156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 s="12">
        <v>85</v>
      </c>
      <c r="AM44" s="12">
        <v>5</v>
      </c>
      <c r="AN44" s="12">
        <v>0</v>
      </c>
      <c r="AO44" s="12">
        <v>10</v>
      </c>
      <c r="AP44" s="12">
        <v>0</v>
      </c>
      <c r="AQ44" s="12">
        <v>70</v>
      </c>
      <c r="AR44" s="12">
        <f>AVERAGE(24,18,20,22,21,22,26,25,22,20,23,26,19,20,22,24,27,23,24,23)</f>
        <v>22.55</v>
      </c>
      <c r="AS44" s="13">
        <v>4</v>
      </c>
      <c r="AT44" s="23">
        <v>10</v>
      </c>
    </row>
    <row r="45" spans="1:46" x14ac:dyDescent="0.2">
      <c r="A45" s="22">
        <v>75</v>
      </c>
      <c r="B45" s="12">
        <v>2</v>
      </c>
      <c r="C45" s="12" t="s">
        <v>14</v>
      </c>
      <c r="D45" s="12">
        <v>0.15</v>
      </c>
      <c r="E45" s="12">
        <v>0.65</v>
      </c>
      <c r="F45" s="23">
        <v>1</v>
      </c>
      <c r="G45" s="12">
        <v>100</v>
      </c>
      <c r="H45" s="12">
        <v>0</v>
      </c>
      <c r="I45" s="12">
        <v>0</v>
      </c>
      <c r="J45" s="22">
        <v>95</v>
      </c>
      <c r="K45" s="12">
        <v>5</v>
      </c>
      <c r="L45" s="12">
        <v>0</v>
      </c>
      <c r="M45" s="12">
        <v>0</v>
      </c>
      <c r="N45" s="12">
        <v>0</v>
      </c>
      <c r="O45" s="12">
        <v>20</v>
      </c>
      <c r="P45" s="12">
        <f>AVERAGE(7,10,11,11.5,14,12,11,8,10,10.5,11,9,14,15,11,9,8.5,7,12,11.5)</f>
        <v>10.65</v>
      </c>
      <c r="Q45" s="13">
        <v>4</v>
      </c>
      <c r="R45" s="23">
        <v>5</v>
      </c>
      <c r="S45" s="12">
        <v>80</v>
      </c>
      <c r="T45" s="12">
        <v>20</v>
      </c>
      <c r="U45" s="12">
        <v>0</v>
      </c>
      <c r="V45" s="12">
        <v>0</v>
      </c>
      <c r="W45" s="12">
        <v>0</v>
      </c>
      <c r="X45" s="12">
        <v>20</v>
      </c>
      <c r="Y45" s="25">
        <f>AVERAGE(16,14,14,9,12,11,8,15,12,13,12,11,10,8,15,12,11,10,8,10,12)</f>
        <v>11.571428571428571</v>
      </c>
      <c r="Z45" s="13">
        <v>4</v>
      </c>
      <c r="AA45" s="23">
        <v>5</v>
      </c>
      <c r="AC45" s="12">
        <v>1</v>
      </c>
      <c r="AD45" s="12" t="s">
        <v>157</v>
      </c>
      <c r="AE45" t="s">
        <v>156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 s="12">
        <v>90</v>
      </c>
      <c r="AM45" s="12">
        <v>0</v>
      </c>
      <c r="AN45" s="12">
        <v>0</v>
      </c>
      <c r="AO45" s="12">
        <v>10</v>
      </c>
      <c r="AP45" s="12">
        <v>0</v>
      </c>
      <c r="AQ45" s="12">
        <v>45</v>
      </c>
      <c r="AR45" s="12">
        <f>AVERAGE(25,26,28,27,20,21,20,24,23,25,27,22,21,20,26,25,28,29,27,24)</f>
        <v>24.4</v>
      </c>
      <c r="AS45" s="13">
        <v>4</v>
      </c>
      <c r="AT45" s="23">
        <v>10</v>
      </c>
    </row>
    <row r="46" spans="1:46" x14ac:dyDescent="0.2">
      <c r="A46" s="22">
        <v>76</v>
      </c>
      <c r="B46" s="12">
        <v>2</v>
      </c>
      <c r="C46" s="12" t="s">
        <v>14</v>
      </c>
      <c r="D46" s="12">
        <v>0.19</v>
      </c>
      <c r="E46" s="12">
        <v>0.67</v>
      </c>
      <c r="F46" s="23">
        <v>1</v>
      </c>
      <c r="G46" s="12">
        <v>100</v>
      </c>
      <c r="H46" s="12">
        <v>0</v>
      </c>
      <c r="I46" s="12">
        <v>0</v>
      </c>
      <c r="J46" s="22">
        <v>97</v>
      </c>
      <c r="K46" s="12">
        <v>3</v>
      </c>
      <c r="L46" s="12">
        <v>0</v>
      </c>
      <c r="M46" s="12">
        <v>0</v>
      </c>
      <c r="N46" s="12">
        <v>0</v>
      </c>
      <c r="O46" s="12">
        <v>20</v>
      </c>
      <c r="P46" s="12">
        <f>AVERAGE(13,12,12,17,15,20,10,10,11,14,16,18,10,19,17,16,14,15,11)</f>
        <v>14.210526315789474</v>
      </c>
      <c r="Q46" s="13">
        <v>4</v>
      </c>
      <c r="R46" s="23">
        <v>5</v>
      </c>
      <c r="S46" s="12">
        <v>95</v>
      </c>
      <c r="T46" s="12">
        <v>5</v>
      </c>
      <c r="U46" s="12">
        <v>0</v>
      </c>
      <c r="V46" s="12">
        <v>0</v>
      </c>
      <c r="W46" s="12">
        <v>0</v>
      </c>
      <c r="X46" s="12">
        <v>20</v>
      </c>
      <c r="Y46" s="12">
        <f>AVERAGE(17,13,10,12,18,13,11,19.5,13,12,14,15,13,17,16.5,14,15,17,19,13)</f>
        <v>14.6</v>
      </c>
      <c r="Z46" s="13">
        <v>3</v>
      </c>
      <c r="AA46" s="23">
        <v>5</v>
      </c>
      <c r="AC46" s="12">
        <v>1</v>
      </c>
      <c r="AD46" s="12" t="s">
        <v>24</v>
      </c>
      <c r="AE46" t="s">
        <v>156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 s="12">
        <v>80</v>
      </c>
      <c r="AM46" s="12">
        <v>10</v>
      </c>
      <c r="AN46" s="12">
        <v>0</v>
      </c>
      <c r="AO46" s="12">
        <v>10</v>
      </c>
      <c r="AP46" s="12">
        <v>0</v>
      </c>
      <c r="AQ46" s="12">
        <v>10</v>
      </c>
      <c r="AR46" s="12">
        <f>AVERAGE(20,24,23,26,21,25,23,27,26,20,21,28,24,26,25,21,23,20,27,22)</f>
        <v>23.6</v>
      </c>
      <c r="AS46" s="13">
        <v>4</v>
      </c>
      <c r="AT46" s="23">
        <v>5</v>
      </c>
    </row>
    <row r="47" spans="1:46" x14ac:dyDescent="0.2">
      <c r="A47" s="22">
        <v>77</v>
      </c>
      <c r="B47" s="12">
        <v>2</v>
      </c>
      <c r="C47" s="12" t="s">
        <v>14</v>
      </c>
      <c r="D47" s="12">
        <v>0.15</v>
      </c>
      <c r="E47" s="12">
        <v>0.52</v>
      </c>
      <c r="F47" s="23">
        <v>1</v>
      </c>
      <c r="G47" s="12">
        <v>100</v>
      </c>
      <c r="H47" s="12">
        <v>0</v>
      </c>
      <c r="I47" s="12">
        <v>0</v>
      </c>
      <c r="J47" s="22">
        <v>85</v>
      </c>
      <c r="K47" s="12">
        <v>15</v>
      </c>
      <c r="L47" s="12">
        <v>0</v>
      </c>
      <c r="M47" s="12">
        <v>0</v>
      </c>
      <c r="N47" s="12">
        <v>0</v>
      </c>
      <c r="O47" s="12">
        <v>20</v>
      </c>
      <c r="P47" s="12">
        <f>AVERAGE(15,13,13.5,11,14,10,8,9,9,12,16,10,10,14,12,15,9,10,11,14)</f>
        <v>11.775</v>
      </c>
      <c r="Q47" s="13">
        <v>3</v>
      </c>
      <c r="R47" s="23">
        <v>0</v>
      </c>
      <c r="S47" s="12">
        <v>95</v>
      </c>
      <c r="T47" s="12">
        <v>5</v>
      </c>
      <c r="U47" s="12">
        <v>0</v>
      </c>
      <c r="V47" s="12">
        <v>0</v>
      </c>
      <c r="W47" s="12">
        <v>0</v>
      </c>
      <c r="X47" s="12">
        <v>20</v>
      </c>
      <c r="Y47" s="12">
        <f>AVERAGE(13,12,12.5,10,8,6,14,16,12,13,13.5,10,10,11,14,9,10,10,11.5,12)</f>
        <v>11.375</v>
      </c>
      <c r="Z47" s="13">
        <v>3</v>
      </c>
      <c r="AA47" s="23">
        <v>0</v>
      </c>
      <c r="AC47" s="12">
        <v>1</v>
      </c>
      <c r="AD47" s="12" t="s">
        <v>24</v>
      </c>
      <c r="AE47" t="s">
        <v>156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 s="12">
        <v>90</v>
      </c>
      <c r="AM47" s="12">
        <v>0</v>
      </c>
      <c r="AN47" s="12">
        <v>0</v>
      </c>
      <c r="AO47" s="12">
        <v>10</v>
      </c>
      <c r="AP47" s="12">
        <v>0</v>
      </c>
      <c r="AQ47" s="12">
        <v>100</v>
      </c>
      <c r="AR47" s="12">
        <f>AVERAGE(25.5,27,20,22,24,25,21,23,27,27,25,20,28,20,28,26,24,25,28,26)</f>
        <v>24.574999999999999</v>
      </c>
      <c r="AS47" s="13">
        <v>5</v>
      </c>
      <c r="AT47" s="23">
        <v>14</v>
      </c>
    </row>
    <row r="48" spans="1:46" x14ac:dyDescent="0.2">
      <c r="A48" s="22">
        <v>78</v>
      </c>
      <c r="B48" s="12">
        <v>2</v>
      </c>
      <c r="C48" s="12" t="s">
        <v>14</v>
      </c>
      <c r="D48" s="12">
        <v>0.11</v>
      </c>
      <c r="E48" s="12">
        <v>0.47</v>
      </c>
      <c r="F48" s="23">
        <v>1</v>
      </c>
      <c r="G48" s="12">
        <v>100</v>
      </c>
      <c r="H48" s="12">
        <v>0</v>
      </c>
      <c r="I48" s="12">
        <v>0</v>
      </c>
      <c r="J48" s="22">
        <v>90</v>
      </c>
      <c r="K48" s="12">
        <v>10</v>
      </c>
      <c r="L48" s="12">
        <v>0</v>
      </c>
      <c r="M48" s="12">
        <v>0</v>
      </c>
      <c r="N48" s="12">
        <v>0</v>
      </c>
      <c r="O48" s="12">
        <v>10</v>
      </c>
      <c r="P48" s="12">
        <f>AVERAGE(11,9,7,12,12,5,7,6,9,8,8,10,11,12,5,8,11,6,7,5)</f>
        <v>8.4499999999999993</v>
      </c>
      <c r="Q48" s="13">
        <v>4</v>
      </c>
      <c r="R48" s="23">
        <v>0</v>
      </c>
      <c r="S48" s="12">
        <v>80</v>
      </c>
      <c r="T48" s="12">
        <v>20</v>
      </c>
      <c r="U48" s="12">
        <v>0</v>
      </c>
      <c r="V48" s="12">
        <v>0</v>
      </c>
      <c r="W48" s="12">
        <v>0</v>
      </c>
      <c r="X48" s="12">
        <v>15</v>
      </c>
      <c r="Y48" s="12">
        <f>AVERAGE(7,10,9,5,7,6,10,11,8,12,10,7,9,8,5,5.5,6,8,9,7)</f>
        <v>7.9749999999999996</v>
      </c>
      <c r="Z48" s="13">
        <v>3</v>
      </c>
      <c r="AA48" s="23">
        <v>0</v>
      </c>
      <c r="AC48" s="12">
        <v>1</v>
      </c>
      <c r="AD48" s="12" t="s">
        <v>157</v>
      </c>
      <c r="AE48" t="s">
        <v>156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 s="12">
        <v>85</v>
      </c>
      <c r="AM48" s="12">
        <v>5</v>
      </c>
      <c r="AN48" s="12">
        <v>0</v>
      </c>
      <c r="AO48" s="12">
        <v>10</v>
      </c>
      <c r="AP48" s="12">
        <v>0</v>
      </c>
      <c r="AQ48" s="12">
        <v>100</v>
      </c>
      <c r="AR48" s="12">
        <f>AVERAGE(22,20,19,22,14,18,17,18,20,16,24,23,19,20,22,23,22,21,20,24)</f>
        <v>20.2</v>
      </c>
      <c r="AS48" s="13">
        <v>5</v>
      </c>
      <c r="AT48" s="23">
        <v>5</v>
      </c>
    </row>
    <row r="49" spans="1:46" x14ac:dyDescent="0.2">
      <c r="A49" s="22">
        <v>79</v>
      </c>
      <c r="B49" s="12">
        <v>2</v>
      </c>
      <c r="C49" s="12" t="s">
        <v>14</v>
      </c>
      <c r="D49" s="12">
        <v>0.21</v>
      </c>
      <c r="E49" s="12">
        <v>0.48</v>
      </c>
      <c r="F49" s="23">
        <v>1</v>
      </c>
      <c r="G49" s="12">
        <v>100</v>
      </c>
      <c r="H49" s="12">
        <v>0</v>
      </c>
      <c r="I49" s="12">
        <v>0</v>
      </c>
      <c r="J49" s="22">
        <v>65</v>
      </c>
      <c r="K49" s="12">
        <v>35</v>
      </c>
      <c r="L49" s="12">
        <v>0</v>
      </c>
      <c r="M49" s="12">
        <v>0</v>
      </c>
      <c r="N49" s="12">
        <v>0</v>
      </c>
      <c r="O49" s="12">
        <v>10</v>
      </c>
      <c r="P49" s="12">
        <f>AVERAGE(8,11,6,7.5,8,9,10.5,9,7,11,12,8,9.5,10,10,7,6,12,10,9)</f>
        <v>9.0250000000000004</v>
      </c>
      <c r="Q49" s="13">
        <v>3</v>
      </c>
      <c r="R49" s="23">
        <v>0</v>
      </c>
      <c r="S49" s="12">
        <v>60</v>
      </c>
      <c r="T49" s="12">
        <v>40</v>
      </c>
      <c r="U49" s="12">
        <v>0</v>
      </c>
      <c r="V49" s="12">
        <v>0</v>
      </c>
      <c r="W49" s="12">
        <v>0</v>
      </c>
      <c r="X49" s="12">
        <v>10</v>
      </c>
      <c r="Y49" s="12">
        <f>AVERAGE(10,10,15,14,7,9,11,12,13,14,6,13,12,12.5,14,8,10,10,7,13)</f>
        <v>11.025</v>
      </c>
      <c r="Z49" s="13">
        <v>4</v>
      </c>
      <c r="AA49" s="23">
        <v>0</v>
      </c>
      <c r="AC49" s="12">
        <v>1</v>
      </c>
      <c r="AD49" s="12" t="s">
        <v>134</v>
      </c>
      <c r="AE49" t="s">
        <v>156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 s="12">
        <v>70</v>
      </c>
      <c r="AM49" s="12">
        <v>10</v>
      </c>
      <c r="AN49" s="12">
        <v>0</v>
      </c>
      <c r="AO49" s="12">
        <v>20</v>
      </c>
      <c r="AP49" s="12">
        <v>0</v>
      </c>
      <c r="AQ49" s="12">
        <v>40</v>
      </c>
      <c r="AR49" s="12">
        <f>AVERAGE(23,22,26,26,24,25,23,21,25,27,24,28,20,19,23,27,19,23,24,24)</f>
        <v>23.65</v>
      </c>
      <c r="AS49" s="13">
        <v>4</v>
      </c>
      <c r="AT49" s="23">
        <v>10</v>
      </c>
    </row>
    <row r="50" spans="1:46" x14ac:dyDescent="0.2">
      <c r="A50" s="22">
        <v>80</v>
      </c>
      <c r="B50" s="12">
        <v>2</v>
      </c>
      <c r="C50" s="12" t="s">
        <v>133</v>
      </c>
      <c r="D50" s="12">
        <v>0.2</v>
      </c>
      <c r="E50" s="12">
        <v>0.53</v>
      </c>
      <c r="F50" s="23">
        <v>1</v>
      </c>
      <c r="G50" s="12">
        <v>100</v>
      </c>
      <c r="H50" s="12">
        <v>0</v>
      </c>
      <c r="I50" s="12">
        <v>0</v>
      </c>
      <c r="J50" s="22">
        <v>90</v>
      </c>
      <c r="K50" s="12">
        <v>10</v>
      </c>
      <c r="L50" s="12">
        <v>0</v>
      </c>
      <c r="M50" s="12">
        <v>0</v>
      </c>
      <c r="N50" s="12">
        <v>0</v>
      </c>
      <c r="O50" s="12">
        <v>10</v>
      </c>
      <c r="P50" s="12">
        <f>AVERAGE(13,13,10,12,15,11,9,9,8.5,8,12,14,14,13,12,11,10,10,9,8)</f>
        <v>11.074999999999999</v>
      </c>
      <c r="Q50" s="13">
        <v>3</v>
      </c>
      <c r="R50" s="23">
        <v>0</v>
      </c>
      <c r="S50" s="12">
        <v>90</v>
      </c>
      <c r="T50" s="12">
        <v>10</v>
      </c>
      <c r="U50" s="12">
        <v>0</v>
      </c>
      <c r="V50" s="12">
        <v>0</v>
      </c>
      <c r="W50" s="12">
        <v>0</v>
      </c>
      <c r="X50" s="12">
        <v>15</v>
      </c>
      <c r="Y50" s="12">
        <f>AVERAGE(15,13,13.5,11,8,7,14,15,14,16,12,11,10,12,14,11.5,9,13.5,15,11)</f>
        <v>12.275</v>
      </c>
      <c r="Z50" s="13">
        <v>4</v>
      </c>
      <c r="AA50" s="23">
        <v>0</v>
      </c>
      <c r="AC50" s="12">
        <v>1</v>
      </c>
      <c r="AD50" s="12" t="s">
        <v>24</v>
      </c>
      <c r="AE50" t="s">
        <v>156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 s="12">
        <v>75</v>
      </c>
      <c r="AM50" s="12">
        <v>0</v>
      </c>
      <c r="AN50" s="12">
        <v>0</v>
      </c>
      <c r="AO50" s="12">
        <v>20</v>
      </c>
      <c r="AP50" s="12">
        <v>5</v>
      </c>
      <c r="AQ50" s="12">
        <v>90</v>
      </c>
      <c r="AR50" s="12">
        <f>AVERAGE(20,21,25,24,24,21,26,20,21,20,24,26,23,25,21,22,23.5,23,24,22)</f>
        <v>22.774999999999999</v>
      </c>
      <c r="AS50" s="13">
        <v>5</v>
      </c>
      <c r="AT50" s="23">
        <v>5</v>
      </c>
    </row>
    <row r="51" spans="1:46" x14ac:dyDescent="0.2">
      <c r="A51" s="22">
        <v>81</v>
      </c>
      <c r="B51" s="12">
        <v>2</v>
      </c>
      <c r="C51" s="12" t="s">
        <v>133</v>
      </c>
      <c r="D51" s="12">
        <v>0.15</v>
      </c>
      <c r="E51" s="12">
        <v>0.56000000000000005</v>
      </c>
      <c r="F51" s="23">
        <v>1</v>
      </c>
      <c r="G51" s="12">
        <v>100</v>
      </c>
      <c r="H51" s="12">
        <v>0</v>
      </c>
      <c r="I51" s="12">
        <v>0</v>
      </c>
      <c r="J51" s="22">
        <v>83</v>
      </c>
      <c r="K51" s="12">
        <v>17</v>
      </c>
      <c r="L51" s="12">
        <v>0</v>
      </c>
      <c r="M51" s="12">
        <v>0</v>
      </c>
      <c r="N51" s="12">
        <v>0</v>
      </c>
      <c r="O51" s="12">
        <v>20</v>
      </c>
      <c r="P51" s="12">
        <f>AVERAGE(15,16,15,10,8,10,9,12,11,11,13,14,11,9,11,10,12,13,14,11)</f>
        <v>11.75</v>
      </c>
      <c r="Q51" s="13">
        <v>3</v>
      </c>
      <c r="R51" s="23">
        <v>0</v>
      </c>
      <c r="S51" s="12">
        <v>85</v>
      </c>
      <c r="T51" s="12">
        <v>15</v>
      </c>
      <c r="U51" s="12">
        <v>0</v>
      </c>
      <c r="V51" s="12">
        <v>0</v>
      </c>
      <c r="W51" s="12">
        <v>0</v>
      </c>
      <c r="X51" s="12">
        <v>25</v>
      </c>
      <c r="Y51" s="12">
        <f>AVERAGE(11,8,13,13,10,15,12,11,13.5,14,16,9,11,12,12,14,15,12,13.5,11)</f>
        <v>12.3</v>
      </c>
      <c r="Z51" s="13">
        <v>5</v>
      </c>
      <c r="AA51" s="23">
        <v>0</v>
      </c>
      <c r="AC51" s="12">
        <v>1</v>
      </c>
      <c r="AD51" s="12" t="s">
        <v>157</v>
      </c>
      <c r="AE51" t="s">
        <v>156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 s="12">
        <v>60</v>
      </c>
      <c r="AM51" s="12">
        <v>20</v>
      </c>
      <c r="AN51" s="12">
        <v>0</v>
      </c>
      <c r="AO51" s="12">
        <v>15</v>
      </c>
      <c r="AP51" s="12">
        <v>5</v>
      </c>
      <c r="AQ51" s="12">
        <v>80</v>
      </c>
      <c r="AR51" s="12">
        <f>AVERAGE(25,30,28,26,29,27,24,25,26,30,28,29,27,25,27,26,29,25.5,26,28)</f>
        <v>27.024999999999999</v>
      </c>
      <c r="AS51" s="13">
        <v>4</v>
      </c>
      <c r="AT51" s="23">
        <v>10</v>
      </c>
    </row>
    <row r="52" spans="1:46" x14ac:dyDescent="0.2">
      <c r="A52" s="22">
        <v>82</v>
      </c>
      <c r="B52" s="12">
        <v>2</v>
      </c>
      <c r="C52" s="12" t="s">
        <v>133</v>
      </c>
      <c r="D52" s="12">
        <v>0.18</v>
      </c>
      <c r="E52" s="12">
        <v>0.6</v>
      </c>
      <c r="F52" s="23">
        <v>0.93</v>
      </c>
      <c r="G52" s="12">
        <v>100</v>
      </c>
      <c r="H52" s="12">
        <v>0</v>
      </c>
      <c r="I52" s="12">
        <v>0</v>
      </c>
      <c r="J52" s="22">
        <v>85</v>
      </c>
      <c r="K52" s="12">
        <v>15</v>
      </c>
      <c r="L52" s="12">
        <v>0</v>
      </c>
      <c r="M52" s="12">
        <v>0</v>
      </c>
      <c r="N52" s="12">
        <v>0</v>
      </c>
      <c r="O52" s="12">
        <v>15</v>
      </c>
      <c r="P52" s="12">
        <f>AVERAGE(14,14,11,10,11,8,12,8,11,10,10,9,14,16,13,11,10,9,10,13)</f>
        <v>11.2</v>
      </c>
      <c r="Q52" s="13">
        <v>4</v>
      </c>
      <c r="R52" s="23">
        <v>0</v>
      </c>
      <c r="S52" s="12">
        <v>95</v>
      </c>
      <c r="T52" s="12">
        <v>5</v>
      </c>
      <c r="U52" s="12">
        <v>0</v>
      </c>
      <c r="V52" s="12">
        <v>0</v>
      </c>
      <c r="W52" s="12">
        <v>0</v>
      </c>
      <c r="X52" s="12">
        <v>15</v>
      </c>
      <c r="Y52" s="12">
        <f>AVERAGE(9,13,12,15,8,10,13,12,14,13.5,14,12,9,10,13,10,11,14,12,10)</f>
        <v>11.725</v>
      </c>
      <c r="Z52" s="13">
        <v>5</v>
      </c>
      <c r="AA52" s="23">
        <v>0</v>
      </c>
      <c r="AC52" s="12">
        <v>1</v>
      </c>
      <c r="AD52" s="12" t="s">
        <v>134</v>
      </c>
      <c r="AE52" t="s">
        <v>156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 s="12">
        <v>70</v>
      </c>
      <c r="AM52" s="12">
        <v>10</v>
      </c>
      <c r="AN52" s="12">
        <v>0</v>
      </c>
      <c r="AO52" s="12">
        <v>20</v>
      </c>
      <c r="AP52" s="12">
        <v>0</v>
      </c>
      <c r="AQ52" s="12">
        <v>10</v>
      </c>
      <c r="AR52" s="12">
        <f>AVERAGE(27,30,29,27,27,28,29,26,28,29,30,28,27,27,29,28,26,27,29,27)</f>
        <v>27.9</v>
      </c>
      <c r="AS52" s="13">
        <v>5</v>
      </c>
      <c r="AT52" s="23">
        <v>5</v>
      </c>
    </row>
    <row r="53" spans="1:46" x14ac:dyDescent="0.2">
      <c r="A53" s="22">
        <v>83</v>
      </c>
      <c r="B53" s="12">
        <v>2</v>
      </c>
      <c r="C53" s="12" t="s">
        <v>133</v>
      </c>
      <c r="D53" s="12">
        <v>0.12</v>
      </c>
      <c r="E53" s="12">
        <v>0.62</v>
      </c>
      <c r="F53" s="23">
        <v>0.96</v>
      </c>
      <c r="G53" s="12">
        <v>100</v>
      </c>
      <c r="H53" s="12">
        <v>0</v>
      </c>
      <c r="I53" s="12">
        <v>0</v>
      </c>
      <c r="J53" s="22">
        <v>90</v>
      </c>
      <c r="K53" s="12">
        <v>10</v>
      </c>
      <c r="L53" s="12">
        <v>0</v>
      </c>
      <c r="M53" s="12">
        <v>0</v>
      </c>
      <c r="N53" s="12">
        <v>0</v>
      </c>
      <c r="O53" s="12">
        <v>10</v>
      </c>
      <c r="P53" s="12">
        <f>AVERAGE(8,13,7,10,12,11,10,14,15,13,13,12,11,7,10,8,12,14,11,10)</f>
        <v>11.05</v>
      </c>
      <c r="Q53" s="13">
        <v>3</v>
      </c>
      <c r="R53" s="23">
        <v>0</v>
      </c>
      <c r="S53" s="12">
        <v>95</v>
      </c>
      <c r="T53" s="12">
        <v>5</v>
      </c>
      <c r="U53" s="12">
        <v>0</v>
      </c>
      <c r="V53" s="12">
        <v>0</v>
      </c>
      <c r="W53" s="12">
        <v>0</v>
      </c>
      <c r="X53" s="12">
        <v>10</v>
      </c>
      <c r="Y53" s="12">
        <f>AVERAGE(12,11,12,10,13,13,7,11,12,9,13,10,10,14,13,9,14,11,8,13)</f>
        <v>11.25</v>
      </c>
      <c r="Z53" s="13">
        <v>4</v>
      </c>
      <c r="AA53" s="23">
        <v>0</v>
      </c>
      <c r="AC53" s="12">
        <v>1</v>
      </c>
      <c r="AD53" s="12" t="s">
        <v>134</v>
      </c>
      <c r="AE53" t="s">
        <v>156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 s="12">
        <v>50</v>
      </c>
      <c r="AM53" s="12">
        <v>30</v>
      </c>
      <c r="AN53" s="12">
        <v>0</v>
      </c>
      <c r="AO53" s="12">
        <v>20</v>
      </c>
      <c r="AP53" s="12">
        <v>0</v>
      </c>
      <c r="AQ53" s="12">
        <v>60</v>
      </c>
      <c r="AR53" s="12">
        <f>AVERAGE(19,21,24,22,20,21,20,18,23,22,24,18,20,18,19,22,20,23,24,19)</f>
        <v>20.85</v>
      </c>
      <c r="AS53" s="13">
        <v>5</v>
      </c>
      <c r="AT53" s="23">
        <v>5</v>
      </c>
    </row>
    <row r="54" spans="1:46" x14ac:dyDescent="0.2">
      <c r="A54" s="26">
        <v>84</v>
      </c>
      <c r="B54" s="27">
        <v>2</v>
      </c>
      <c r="C54" s="27" t="s">
        <v>133</v>
      </c>
      <c r="D54" s="27">
        <v>0.18</v>
      </c>
      <c r="E54" s="27">
        <v>0.52</v>
      </c>
      <c r="F54" s="28">
        <v>0.93</v>
      </c>
      <c r="G54" s="27">
        <v>100</v>
      </c>
      <c r="H54" s="27">
        <v>0</v>
      </c>
      <c r="I54" s="27">
        <v>0</v>
      </c>
      <c r="J54" s="26">
        <v>93</v>
      </c>
      <c r="K54" s="27">
        <v>7</v>
      </c>
      <c r="L54" s="27">
        <v>0</v>
      </c>
      <c r="M54" s="27">
        <v>0</v>
      </c>
      <c r="N54" s="27">
        <v>0</v>
      </c>
      <c r="O54" s="27">
        <v>10</v>
      </c>
      <c r="P54" s="27">
        <f>AVERAGE(14,10,10,12,8,9,13,13,11,10,10,8,9,8,11,11,14,15,8,9)</f>
        <v>10.65</v>
      </c>
      <c r="Q54" s="15">
        <v>4</v>
      </c>
      <c r="R54" s="28">
        <v>0</v>
      </c>
      <c r="S54" s="27">
        <v>100</v>
      </c>
      <c r="T54" s="27">
        <v>0</v>
      </c>
      <c r="U54" s="27">
        <v>0</v>
      </c>
      <c r="V54" s="27">
        <v>0</v>
      </c>
      <c r="W54" s="27">
        <v>0</v>
      </c>
      <c r="X54" s="27">
        <v>15</v>
      </c>
      <c r="Y54" s="27">
        <f>AVERAGE(15,13,10,11,11,14,10,12,12.5,8,13,11,14,11,9,13,12.5,14,14,11)</f>
        <v>11.95</v>
      </c>
      <c r="Z54" s="15">
        <v>5</v>
      </c>
      <c r="AA54" s="28">
        <v>0</v>
      </c>
      <c r="AC54" s="12">
        <v>1</v>
      </c>
      <c r="AD54" s="12" t="s">
        <v>157</v>
      </c>
      <c r="AE54" t="s">
        <v>156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 s="12">
        <v>85</v>
      </c>
      <c r="AM54" s="12">
        <v>5</v>
      </c>
      <c r="AN54" s="12">
        <v>5</v>
      </c>
      <c r="AO54" s="12">
        <v>5</v>
      </c>
      <c r="AP54" s="12">
        <v>0</v>
      </c>
      <c r="AQ54" s="12">
        <v>100</v>
      </c>
      <c r="AR54" s="12">
        <f>AVERAGE(26,26,29,27,25,28,24,26,26,29,30,26,25,27,25,24,26,26,28,27)</f>
        <v>26.5</v>
      </c>
      <c r="AS54" s="13">
        <v>5</v>
      </c>
      <c r="AT54" s="23">
        <v>10</v>
      </c>
    </row>
    <row r="55" spans="1:46" x14ac:dyDescent="0.2">
      <c r="AC55" s="12">
        <v>1</v>
      </c>
      <c r="AD55" s="12" t="s">
        <v>14</v>
      </c>
      <c r="AE55" t="s">
        <v>156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 s="12">
        <v>90</v>
      </c>
      <c r="AM55" s="12">
        <v>10</v>
      </c>
      <c r="AN55" s="12">
        <v>0</v>
      </c>
      <c r="AO55" s="12">
        <v>0</v>
      </c>
      <c r="AP55" s="12">
        <v>0</v>
      </c>
      <c r="AQ55" s="12">
        <v>40</v>
      </c>
      <c r="AR55" s="12">
        <f>AVERAGE(25,21,27,30,23,28,27,26,29,26,28,25,23,30,25,27,28,27,29,30)</f>
        <v>26.7</v>
      </c>
      <c r="AS55" s="13">
        <v>4</v>
      </c>
      <c r="AT55" s="23">
        <v>5</v>
      </c>
    </row>
    <row r="56" spans="1:46" x14ac:dyDescent="0.2">
      <c r="AC56" s="12">
        <v>1</v>
      </c>
      <c r="AD56" s="12" t="s">
        <v>134</v>
      </c>
      <c r="AE56" t="s">
        <v>156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 s="12">
        <v>85</v>
      </c>
      <c r="AM56" s="12">
        <v>15</v>
      </c>
      <c r="AN56" s="12">
        <v>0</v>
      </c>
      <c r="AO56" s="12">
        <v>5</v>
      </c>
      <c r="AP56" s="12">
        <v>0</v>
      </c>
      <c r="AQ56" s="12">
        <v>70</v>
      </c>
      <c r="AR56" s="12">
        <f>AVERAGE(24,26,24,28,28,25,22,27,26,25,29,28,29,24,30,27,29,26,28,27)</f>
        <v>26.6</v>
      </c>
      <c r="AS56" s="13">
        <v>5</v>
      </c>
      <c r="AT56" s="23">
        <v>5</v>
      </c>
    </row>
    <row r="57" spans="1:46" x14ac:dyDescent="0.2">
      <c r="AC57" s="12">
        <v>1</v>
      </c>
      <c r="AD57" s="12" t="s">
        <v>157</v>
      </c>
      <c r="AE57" t="s">
        <v>156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 s="12">
        <v>100</v>
      </c>
      <c r="AM57" s="12">
        <v>0</v>
      </c>
      <c r="AN57" s="12">
        <v>0</v>
      </c>
      <c r="AO57" s="12">
        <v>0</v>
      </c>
      <c r="AP57" s="12">
        <v>0</v>
      </c>
      <c r="AQ57" s="12">
        <v>80</v>
      </c>
      <c r="AR57" s="12">
        <f>AVERAGE(25,26,30,28,27,29,26,26,23,29,26,28,25,27,27,25,26,28,28,27.5)</f>
        <v>26.824999999999999</v>
      </c>
      <c r="AS57" s="13">
        <v>5</v>
      </c>
      <c r="AT57" s="23">
        <v>10</v>
      </c>
    </row>
    <row r="58" spans="1:46" x14ac:dyDescent="0.2">
      <c r="AC58" s="12">
        <v>1</v>
      </c>
      <c r="AD58" s="12" t="s">
        <v>24</v>
      </c>
      <c r="AE58" t="s">
        <v>156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 s="12">
        <v>70</v>
      </c>
      <c r="AM58" s="12">
        <v>0</v>
      </c>
      <c r="AN58" s="12">
        <v>15</v>
      </c>
      <c r="AO58" s="12">
        <v>15</v>
      </c>
      <c r="AP58" s="12">
        <v>0</v>
      </c>
      <c r="AQ58" s="12">
        <v>20</v>
      </c>
      <c r="AR58" s="12">
        <f>AVERAGE(18,20,24,27,23,22,23,24,21,22,26,24,25,25,23,26,24,22,24,23)</f>
        <v>23.3</v>
      </c>
      <c r="AS58" s="13">
        <v>4</v>
      </c>
      <c r="AT58" s="23">
        <v>5</v>
      </c>
    </row>
    <row r="59" spans="1:46" x14ac:dyDescent="0.2">
      <c r="AC59" s="12">
        <v>1</v>
      </c>
      <c r="AD59" s="12" t="s">
        <v>157</v>
      </c>
      <c r="AE59" t="s">
        <v>156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 s="12">
        <v>80</v>
      </c>
      <c r="AM59" s="12">
        <v>0</v>
      </c>
      <c r="AN59" s="12">
        <v>0</v>
      </c>
      <c r="AO59" s="12">
        <v>20</v>
      </c>
      <c r="AP59" s="12">
        <v>0</v>
      </c>
      <c r="AQ59" s="12">
        <v>90</v>
      </c>
      <c r="AR59" s="12">
        <f>AVERAGE(24,22,25,18,26,20,21,22,18,24,19,20.5,18,21,20,22,18,20,19,20)</f>
        <v>20.875</v>
      </c>
      <c r="AS59" s="13">
        <v>5</v>
      </c>
      <c r="AT59" s="23">
        <v>5</v>
      </c>
    </row>
    <row r="60" spans="1:46" x14ac:dyDescent="0.2">
      <c r="AC60" s="12">
        <v>1</v>
      </c>
      <c r="AD60" s="12" t="s">
        <v>24</v>
      </c>
      <c r="AE60" t="s">
        <v>156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 s="12">
        <v>70</v>
      </c>
      <c r="AM60" s="12">
        <v>10</v>
      </c>
      <c r="AN60" s="12">
        <v>0</v>
      </c>
      <c r="AO60" s="12">
        <v>10</v>
      </c>
      <c r="AP60" s="12">
        <v>10</v>
      </c>
      <c r="AQ60" s="12">
        <v>90</v>
      </c>
      <c r="AR60" s="12">
        <f>AVERAGE(18,23,25,22,20,19,21,23,20,17,19,22,24,23,21.5,17,19,17,21,20)</f>
        <v>20.574999999999999</v>
      </c>
      <c r="AS60" s="13">
        <v>5</v>
      </c>
      <c r="AT60" s="23">
        <v>10</v>
      </c>
    </row>
    <row r="61" spans="1:46" x14ac:dyDescent="0.2">
      <c r="AC61" s="12">
        <v>1</v>
      </c>
      <c r="AD61" s="12" t="s">
        <v>134</v>
      </c>
      <c r="AE61" t="s">
        <v>156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 s="12">
        <v>70</v>
      </c>
      <c r="AM61" s="12">
        <v>10</v>
      </c>
      <c r="AN61" s="12">
        <v>0</v>
      </c>
      <c r="AO61" s="12">
        <v>20</v>
      </c>
      <c r="AP61" s="12">
        <v>0</v>
      </c>
      <c r="AQ61" s="12">
        <v>40</v>
      </c>
      <c r="AR61" s="12">
        <f>AVERAGE(16,21,24,22,20,18,23,22,23,17,19,17,20,21,18,16,19,20,22,20)</f>
        <v>19.899999999999999</v>
      </c>
      <c r="AS61" s="13">
        <v>5</v>
      </c>
      <c r="AT61" s="23">
        <v>10</v>
      </c>
    </row>
    <row r="62" spans="1:46" x14ac:dyDescent="0.2">
      <c r="AC62" s="12">
        <v>1</v>
      </c>
      <c r="AD62" s="12" t="s">
        <v>157</v>
      </c>
      <c r="AE62" t="s">
        <v>156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 s="12">
        <v>85</v>
      </c>
      <c r="AM62" s="12">
        <v>0</v>
      </c>
      <c r="AN62" s="12">
        <v>0</v>
      </c>
      <c r="AO62" s="12">
        <v>10</v>
      </c>
      <c r="AP62" s="12">
        <v>5</v>
      </c>
      <c r="AQ62" s="12">
        <v>60</v>
      </c>
      <c r="AR62" s="12">
        <f>AVERAGE(20,26,22,24,20,23,21,20,21,25,26,24,23,22.5,18,25,21,26,19,19.5)</f>
        <v>22.3</v>
      </c>
      <c r="AS62" s="13">
        <v>5</v>
      </c>
      <c r="AT62" s="23">
        <v>7</v>
      </c>
    </row>
    <row r="63" spans="1:46" x14ac:dyDescent="0.2">
      <c r="AC63" s="12">
        <v>1</v>
      </c>
      <c r="AD63" s="12" t="s">
        <v>24</v>
      </c>
      <c r="AE63" t="s">
        <v>156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 s="12">
        <v>75</v>
      </c>
      <c r="AM63" s="12">
        <v>5</v>
      </c>
      <c r="AN63" s="12">
        <v>0</v>
      </c>
      <c r="AO63" s="12">
        <v>10</v>
      </c>
      <c r="AP63" s="12">
        <v>10</v>
      </c>
      <c r="AQ63" s="12">
        <v>80</v>
      </c>
      <c r="AR63" s="12">
        <f>AVERAGE(21,18,22,17,23,22,24,19,22,21,18,17,23,25,22,25,18,16,25,23)</f>
        <v>21.05</v>
      </c>
      <c r="AS63" s="13">
        <v>4</v>
      </c>
      <c r="AT63" s="23">
        <v>12</v>
      </c>
    </row>
    <row r="64" spans="1:46" x14ac:dyDescent="0.2">
      <c r="AC64" s="12">
        <v>1</v>
      </c>
      <c r="AD64" s="12" t="s">
        <v>134</v>
      </c>
      <c r="AE64" t="s">
        <v>156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 s="12">
        <v>70</v>
      </c>
      <c r="AM64" s="12">
        <v>20</v>
      </c>
      <c r="AN64" s="12">
        <v>0</v>
      </c>
      <c r="AO64" s="12">
        <v>10</v>
      </c>
      <c r="AP64" s="12">
        <v>0</v>
      </c>
      <c r="AQ64" s="12">
        <v>30</v>
      </c>
      <c r="AR64" s="12">
        <f>AVERAGE(26,29,29,30, 26,25,27,28,27,28,26,25.5,24,27,26,28,27,30, 27,29)</f>
        <v>27.225000000000001</v>
      </c>
      <c r="AS64" s="13">
        <v>6</v>
      </c>
      <c r="AT64" s="23">
        <v>8</v>
      </c>
    </row>
    <row r="65" spans="29:46" x14ac:dyDescent="0.2">
      <c r="AC65" s="10">
        <v>2</v>
      </c>
      <c r="AD65" s="10" t="s">
        <v>14</v>
      </c>
      <c r="AE65" t="s">
        <v>155</v>
      </c>
      <c r="AF65" s="10">
        <v>0.13</v>
      </c>
      <c r="AG65" s="10">
        <v>0.59</v>
      </c>
      <c r="AH65" s="11">
        <v>1</v>
      </c>
      <c r="AI65" s="10">
        <v>100</v>
      </c>
      <c r="AJ65" s="10">
        <v>0</v>
      </c>
      <c r="AK65" s="10">
        <v>0</v>
      </c>
      <c r="AL65" s="24">
        <v>90</v>
      </c>
      <c r="AM65" s="10">
        <v>10</v>
      </c>
      <c r="AN65" s="10">
        <v>0</v>
      </c>
      <c r="AO65" s="10">
        <v>0</v>
      </c>
      <c r="AP65" s="10">
        <v>0</v>
      </c>
      <c r="AQ65" s="10">
        <v>5</v>
      </c>
      <c r="AR65" s="10">
        <f>AVERAGE(11,10,16,8,15,13,9,8,9,10,11,13,12,9,8,7,14,12,10,9)</f>
        <v>10.7</v>
      </c>
      <c r="AS65" s="14">
        <v>3</v>
      </c>
      <c r="AT65" s="11">
        <v>0</v>
      </c>
    </row>
    <row r="66" spans="29:46" x14ac:dyDescent="0.2">
      <c r="AC66" s="12">
        <v>2</v>
      </c>
      <c r="AD66" s="12" t="s">
        <v>14</v>
      </c>
      <c r="AE66" t="s">
        <v>155</v>
      </c>
      <c r="AF66" s="12">
        <v>0.17</v>
      </c>
      <c r="AG66" s="12">
        <v>0.46</v>
      </c>
      <c r="AH66" s="23">
        <v>0.53</v>
      </c>
      <c r="AI66" s="12">
        <v>100</v>
      </c>
      <c r="AJ66" s="12">
        <v>0</v>
      </c>
      <c r="AK66" s="12">
        <v>0</v>
      </c>
      <c r="AL66" s="22">
        <v>75</v>
      </c>
      <c r="AM66" s="12">
        <v>25</v>
      </c>
      <c r="AN66" s="12">
        <v>0</v>
      </c>
      <c r="AO66" s="12">
        <v>0</v>
      </c>
      <c r="AP66" s="12">
        <v>0</v>
      </c>
      <c r="AQ66" s="12">
        <v>20</v>
      </c>
      <c r="AR66" s="12">
        <f>AVERAGE(10,6,8,11,9,8,9,12,7,8,9,14,10,15,12,8,10,11,13,9)</f>
        <v>9.9499999999999993</v>
      </c>
      <c r="AS66" s="13">
        <v>3</v>
      </c>
      <c r="AT66" s="23">
        <v>0</v>
      </c>
    </row>
    <row r="67" spans="29:46" x14ac:dyDescent="0.2">
      <c r="AC67" s="12">
        <v>2</v>
      </c>
      <c r="AD67" s="12" t="s">
        <v>14</v>
      </c>
      <c r="AE67" t="s">
        <v>155</v>
      </c>
      <c r="AF67" s="12">
        <v>0.12</v>
      </c>
      <c r="AG67" s="12">
        <v>0.56000000000000005</v>
      </c>
      <c r="AH67" s="23">
        <v>1</v>
      </c>
      <c r="AI67" s="12">
        <v>100</v>
      </c>
      <c r="AJ67" s="12">
        <v>0</v>
      </c>
      <c r="AK67" s="12">
        <v>0</v>
      </c>
      <c r="AL67" s="22">
        <v>97</v>
      </c>
      <c r="AM67" s="12">
        <v>3</v>
      </c>
      <c r="AN67" s="12">
        <v>0</v>
      </c>
      <c r="AO67" s="12">
        <v>0</v>
      </c>
      <c r="AP67" s="12">
        <v>0</v>
      </c>
      <c r="AQ67" s="12">
        <v>20</v>
      </c>
      <c r="AR67" s="12">
        <f>AVERAGE(10,9,8,12,10.5,13,9.5,11,9,14,13,11,10,12,13,12.5,11,13,15,13)</f>
        <v>11.475</v>
      </c>
      <c r="AS67" s="13">
        <v>3</v>
      </c>
      <c r="AT67" s="23">
        <v>0</v>
      </c>
    </row>
    <row r="68" spans="29:46" x14ac:dyDescent="0.2">
      <c r="AC68" s="12">
        <v>2</v>
      </c>
      <c r="AD68" s="12" t="s">
        <v>14</v>
      </c>
      <c r="AE68" t="s">
        <v>155</v>
      </c>
      <c r="AF68" s="12">
        <v>0.16</v>
      </c>
      <c r="AG68" s="12">
        <v>0.56999999999999995</v>
      </c>
      <c r="AH68" s="23">
        <v>1</v>
      </c>
      <c r="AI68" s="12">
        <v>100</v>
      </c>
      <c r="AJ68" s="12">
        <v>0</v>
      </c>
      <c r="AK68" s="12">
        <v>0</v>
      </c>
      <c r="AL68" s="22">
        <v>75</v>
      </c>
      <c r="AM68" s="12">
        <v>25</v>
      </c>
      <c r="AN68" s="12">
        <v>0</v>
      </c>
      <c r="AO68" s="12">
        <v>0</v>
      </c>
      <c r="AP68" s="12">
        <v>0</v>
      </c>
      <c r="AQ68" s="12">
        <v>5</v>
      </c>
      <c r="AR68" s="12">
        <f>AVERAGE(10,15,9,12,13,8,7,11,9,15,9,18,10,13,7,9,12,14,12,13)</f>
        <v>11.3</v>
      </c>
      <c r="AS68" s="13">
        <v>4</v>
      </c>
      <c r="AT68" s="23">
        <v>0</v>
      </c>
    </row>
    <row r="69" spans="29:46" x14ac:dyDescent="0.2">
      <c r="AC69" s="12">
        <v>2</v>
      </c>
      <c r="AD69" s="12" t="s">
        <v>14</v>
      </c>
      <c r="AE69" t="s">
        <v>155</v>
      </c>
      <c r="AF69" s="12">
        <v>0.13</v>
      </c>
      <c r="AG69" s="12">
        <v>0.46</v>
      </c>
      <c r="AH69" s="23">
        <v>0.85</v>
      </c>
      <c r="AI69" s="12">
        <v>100</v>
      </c>
      <c r="AJ69" s="12">
        <v>0</v>
      </c>
      <c r="AK69" s="12">
        <v>0</v>
      </c>
      <c r="AL69" s="22">
        <v>70</v>
      </c>
      <c r="AM69" s="12">
        <v>30</v>
      </c>
      <c r="AN69" s="12">
        <v>0</v>
      </c>
      <c r="AO69" s="12">
        <v>0</v>
      </c>
      <c r="AP69" s="12">
        <v>0</v>
      </c>
      <c r="AQ69" s="12">
        <v>10</v>
      </c>
      <c r="AR69" s="12">
        <f>AVERAGE(13,14,17,8,10,9,8,7,13,12.5,15,14,13.5,16,17,14,9,10,10.5,8)</f>
        <v>11.925000000000001</v>
      </c>
      <c r="AS69" s="13">
        <v>4</v>
      </c>
      <c r="AT69" s="23">
        <v>0</v>
      </c>
    </row>
    <row r="70" spans="29:46" x14ac:dyDescent="0.2">
      <c r="AC70" s="12">
        <v>2</v>
      </c>
      <c r="AD70" s="12" t="s">
        <v>133</v>
      </c>
      <c r="AE70" t="s">
        <v>155</v>
      </c>
      <c r="AF70" s="12">
        <v>0.14000000000000001</v>
      </c>
      <c r="AG70" s="12">
        <v>0.6</v>
      </c>
      <c r="AH70" s="23">
        <v>1</v>
      </c>
      <c r="AI70" s="12">
        <v>100</v>
      </c>
      <c r="AJ70" s="12">
        <v>0</v>
      </c>
      <c r="AK70" s="12">
        <v>0</v>
      </c>
      <c r="AL70" s="22">
        <v>80</v>
      </c>
      <c r="AM70" s="12">
        <v>20</v>
      </c>
      <c r="AN70" s="12">
        <v>0</v>
      </c>
      <c r="AO70" s="12">
        <v>0</v>
      </c>
      <c r="AP70" s="12">
        <v>0</v>
      </c>
      <c r="AQ70" s="12">
        <v>15</v>
      </c>
      <c r="AR70" s="12">
        <f>AVERAGE(12.5,16,14,13,10,9.5,13,15,8,12,14,13.5,10,11.5,12,12,9.5,15,13,11)</f>
        <v>12.225</v>
      </c>
      <c r="AS70" s="13">
        <v>3</v>
      </c>
      <c r="AT70" s="23">
        <v>0</v>
      </c>
    </row>
    <row r="71" spans="29:46" x14ac:dyDescent="0.2">
      <c r="AC71" s="12">
        <v>2</v>
      </c>
      <c r="AD71" s="12" t="s">
        <v>133</v>
      </c>
      <c r="AE71" t="s">
        <v>155</v>
      </c>
      <c r="AF71" s="12">
        <v>0.13</v>
      </c>
      <c r="AG71" s="12">
        <v>0.55000000000000004</v>
      </c>
      <c r="AH71" s="23">
        <v>0.66</v>
      </c>
      <c r="AI71" s="12">
        <v>100</v>
      </c>
      <c r="AJ71" s="12">
        <v>0</v>
      </c>
      <c r="AK71" s="12">
        <v>0</v>
      </c>
      <c r="AL71" s="22">
        <v>95</v>
      </c>
      <c r="AM71" s="12">
        <v>5</v>
      </c>
      <c r="AN71" s="12">
        <v>0</v>
      </c>
      <c r="AO71" s="12">
        <v>0</v>
      </c>
      <c r="AP71" s="12">
        <v>0</v>
      </c>
      <c r="AQ71" s="12">
        <v>15</v>
      </c>
      <c r="AR71" s="12">
        <f>AVERAGE(15,11,8,10,14,13,12,11,10,10,12.5,14,15,14.5,13,15,9,10,12,10,12)</f>
        <v>11.952380952380953</v>
      </c>
      <c r="AS71" s="13">
        <v>4</v>
      </c>
      <c r="AT71" s="23">
        <v>0</v>
      </c>
    </row>
    <row r="72" spans="29:46" x14ac:dyDescent="0.2">
      <c r="AC72" s="12">
        <v>2</v>
      </c>
      <c r="AD72" s="12" t="s">
        <v>133</v>
      </c>
      <c r="AE72" t="s">
        <v>155</v>
      </c>
      <c r="AF72" s="12">
        <v>0.19</v>
      </c>
      <c r="AG72" s="12">
        <v>0.56000000000000005</v>
      </c>
      <c r="AH72" s="23">
        <v>1</v>
      </c>
      <c r="AI72" s="12">
        <v>100</v>
      </c>
      <c r="AJ72" s="12">
        <v>0</v>
      </c>
      <c r="AK72" s="12">
        <v>0</v>
      </c>
      <c r="AL72" s="22">
        <v>75</v>
      </c>
      <c r="AM72" s="12">
        <v>25</v>
      </c>
      <c r="AN72" s="12">
        <v>0</v>
      </c>
      <c r="AO72" s="12">
        <v>0</v>
      </c>
      <c r="AP72" s="12">
        <v>0</v>
      </c>
      <c r="AQ72" s="12">
        <v>15</v>
      </c>
      <c r="AR72" s="12">
        <f>AVERAGE(14,13,10,8,10,9,8.5,13,10,12,15,10,13,11,13,14,7,9,9,14)</f>
        <v>11.125</v>
      </c>
      <c r="AS72" s="13">
        <v>3</v>
      </c>
      <c r="AT72" s="23">
        <v>0</v>
      </c>
    </row>
    <row r="73" spans="29:46" x14ac:dyDescent="0.2">
      <c r="AC73" s="12">
        <v>2</v>
      </c>
      <c r="AD73" s="12" t="s">
        <v>133</v>
      </c>
      <c r="AE73" t="s">
        <v>155</v>
      </c>
      <c r="AF73" s="12">
        <v>0.17</v>
      </c>
      <c r="AG73" s="12">
        <v>0.53</v>
      </c>
      <c r="AH73" s="23">
        <v>1</v>
      </c>
      <c r="AI73" s="12">
        <v>100</v>
      </c>
      <c r="AJ73" s="12">
        <v>0</v>
      </c>
      <c r="AK73" s="12">
        <v>0</v>
      </c>
      <c r="AL73" s="22">
        <v>80</v>
      </c>
      <c r="AM73" s="12">
        <v>20</v>
      </c>
      <c r="AN73" s="12">
        <v>0</v>
      </c>
      <c r="AO73" s="12">
        <v>0</v>
      </c>
      <c r="AP73" s="12">
        <v>0</v>
      </c>
      <c r="AQ73" s="12">
        <v>15</v>
      </c>
      <c r="AR73" s="12">
        <f>AVERAGE(9,9.5,11,7,13,12,12,14,15,10,9,15,12,14,13,11,10.5,9,13,11)</f>
        <v>11.5</v>
      </c>
      <c r="AS73" s="13">
        <v>4</v>
      </c>
      <c r="AT73" s="23">
        <v>0</v>
      </c>
    </row>
    <row r="74" spans="29:46" x14ac:dyDescent="0.2">
      <c r="AC74" s="12">
        <v>2</v>
      </c>
      <c r="AD74" s="12" t="s">
        <v>133</v>
      </c>
      <c r="AE74" t="s">
        <v>155</v>
      </c>
      <c r="AF74" s="12">
        <v>0.17</v>
      </c>
      <c r="AG74" s="12">
        <v>0.53</v>
      </c>
      <c r="AH74" s="23">
        <v>0.66</v>
      </c>
      <c r="AI74" s="12">
        <v>100</v>
      </c>
      <c r="AJ74" s="12">
        <v>0</v>
      </c>
      <c r="AK74" s="12">
        <v>0</v>
      </c>
      <c r="AL74" s="22">
        <v>95</v>
      </c>
      <c r="AM74" s="12">
        <v>5</v>
      </c>
      <c r="AN74" s="12">
        <v>0</v>
      </c>
      <c r="AO74" s="12">
        <v>0</v>
      </c>
      <c r="AP74" s="12">
        <v>0</v>
      </c>
      <c r="AQ74" s="12">
        <v>20</v>
      </c>
      <c r="AR74" s="12">
        <f>AVERAGE(13,10,10,11,9,8,12,14,13,16,13,12,8,10,11,7,15,12,10,10)</f>
        <v>11.2</v>
      </c>
      <c r="AS74" s="13">
        <v>3</v>
      </c>
      <c r="AT74" s="23">
        <v>0</v>
      </c>
    </row>
    <row r="75" spans="29:46" x14ac:dyDescent="0.2">
      <c r="AC75" s="12">
        <v>2</v>
      </c>
      <c r="AD75" s="12" t="s">
        <v>14</v>
      </c>
      <c r="AE75" t="s">
        <v>155</v>
      </c>
      <c r="AF75" s="12">
        <v>0.15</v>
      </c>
      <c r="AG75" s="12">
        <v>0.65</v>
      </c>
      <c r="AH75" s="23">
        <v>1</v>
      </c>
      <c r="AI75" s="12">
        <v>100</v>
      </c>
      <c r="AJ75" s="12">
        <v>0</v>
      </c>
      <c r="AK75" s="12">
        <v>0</v>
      </c>
      <c r="AL75" s="22">
        <v>95</v>
      </c>
      <c r="AM75" s="12">
        <v>5</v>
      </c>
      <c r="AN75" s="12">
        <v>0</v>
      </c>
      <c r="AO75" s="12">
        <v>0</v>
      </c>
      <c r="AP75" s="12">
        <v>0</v>
      </c>
      <c r="AQ75" s="12">
        <v>20</v>
      </c>
      <c r="AR75" s="12">
        <f>AVERAGE(7,10,11,11.5,14,12,11,8,10,10.5,11,9,14,15,11,9,8.5,7,12,11.5)</f>
        <v>10.65</v>
      </c>
      <c r="AS75" s="13">
        <v>4</v>
      </c>
      <c r="AT75" s="23">
        <v>5</v>
      </c>
    </row>
    <row r="76" spans="29:46" x14ac:dyDescent="0.2">
      <c r="AC76" s="12">
        <v>2</v>
      </c>
      <c r="AD76" s="12" t="s">
        <v>14</v>
      </c>
      <c r="AE76" t="s">
        <v>155</v>
      </c>
      <c r="AF76" s="12">
        <v>0.19</v>
      </c>
      <c r="AG76" s="12">
        <v>0.67</v>
      </c>
      <c r="AH76" s="23">
        <v>1</v>
      </c>
      <c r="AI76" s="12">
        <v>100</v>
      </c>
      <c r="AJ76" s="12">
        <v>0</v>
      </c>
      <c r="AK76" s="12">
        <v>0</v>
      </c>
      <c r="AL76" s="22">
        <v>97</v>
      </c>
      <c r="AM76" s="12">
        <v>3</v>
      </c>
      <c r="AN76" s="12">
        <v>0</v>
      </c>
      <c r="AO76" s="12">
        <v>0</v>
      </c>
      <c r="AP76" s="12">
        <v>0</v>
      </c>
      <c r="AQ76" s="12">
        <v>20</v>
      </c>
      <c r="AR76" s="12">
        <f>AVERAGE(13,12,12,17,15,20,10,10,11,14,16,18,10,19,17,16,14,15,11)</f>
        <v>14.210526315789474</v>
      </c>
      <c r="AS76" s="13">
        <v>4</v>
      </c>
      <c r="AT76" s="23">
        <v>5</v>
      </c>
    </row>
    <row r="77" spans="29:46" x14ac:dyDescent="0.2">
      <c r="AC77" s="12">
        <v>2</v>
      </c>
      <c r="AD77" s="12" t="s">
        <v>14</v>
      </c>
      <c r="AE77" t="s">
        <v>155</v>
      </c>
      <c r="AF77" s="12">
        <v>0.15</v>
      </c>
      <c r="AG77" s="12">
        <v>0.52</v>
      </c>
      <c r="AH77" s="23">
        <v>1</v>
      </c>
      <c r="AI77" s="12">
        <v>100</v>
      </c>
      <c r="AJ77" s="12">
        <v>0</v>
      </c>
      <c r="AK77" s="12">
        <v>0</v>
      </c>
      <c r="AL77" s="22">
        <v>85</v>
      </c>
      <c r="AM77" s="12">
        <v>15</v>
      </c>
      <c r="AN77" s="12">
        <v>0</v>
      </c>
      <c r="AO77" s="12">
        <v>0</v>
      </c>
      <c r="AP77" s="12">
        <v>0</v>
      </c>
      <c r="AQ77" s="12">
        <v>20</v>
      </c>
      <c r="AR77" s="12">
        <f>AVERAGE(15,13,13.5,11,14,10,8,9,9,12,16,10,10,14,12,15,9,10,11,14)</f>
        <v>11.775</v>
      </c>
      <c r="AS77" s="13">
        <v>3</v>
      </c>
      <c r="AT77" s="23">
        <v>0</v>
      </c>
    </row>
    <row r="78" spans="29:46" x14ac:dyDescent="0.2">
      <c r="AC78" s="12">
        <v>2</v>
      </c>
      <c r="AD78" s="12" t="s">
        <v>14</v>
      </c>
      <c r="AE78" t="s">
        <v>155</v>
      </c>
      <c r="AF78" s="12">
        <v>0.11</v>
      </c>
      <c r="AG78" s="12">
        <v>0.47</v>
      </c>
      <c r="AH78" s="23">
        <v>1</v>
      </c>
      <c r="AI78" s="12">
        <v>100</v>
      </c>
      <c r="AJ78" s="12">
        <v>0</v>
      </c>
      <c r="AK78" s="12">
        <v>0</v>
      </c>
      <c r="AL78" s="22">
        <v>90</v>
      </c>
      <c r="AM78" s="12">
        <v>10</v>
      </c>
      <c r="AN78" s="12">
        <v>0</v>
      </c>
      <c r="AO78" s="12">
        <v>0</v>
      </c>
      <c r="AP78" s="12">
        <v>0</v>
      </c>
      <c r="AQ78" s="12">
        <v>10</v>
      </c>
      <c r="AR78" s="12">
        <f>AVERAGE(11,9,7,12,12,5,7,6,9,8,8,10,11,12,5,8,11,6,7,5)</f>
        <v>8.4499999999999993</v>
      </c>
      <c r="AS78" s="13">
        <v>4</v>
      </c>
      <c r="AT78" s="23">
        <v>0</v>
      </c>
    </row>
    <row r="79" spans="29:46" x14ac:dyDescent="0.2">
      <c r="AC79" s="12">
        <v>2</v>
      </c>
      <c r="AD79" s="12" t="s">
        <v>14</v>
      </c>
      <c r="AE79" t="s">
        <v>155</v>
      </c>
      <c r="AF79" s="12">
        <v>0.21</v>
      </c>
      <c r="AG79" s="12">
        <v>0.48</v>
      </c>
      <c r="AH79" s="23">
        <v>1</v>
      </c>
      <c r="AI79" s="12">
        <v>100</v>
      </c>
      <c r="AJ79" s="12">
        <v>0</v>
      </c>
      <c r="AK79" s="12">
        <v>0</v>
      </c>
      <c r="AL79" s="22">
        <v>65</v>
      </c>
      <c r="AM79" s="12">
        <v>35</v>
      </c>
      <c r="AN79" s="12">
        <v>0</v>
      </c>
      <c r="AO79" s="12">
        <v>0</v>
      </c>
      <c r="AP79" s="12">
        <v>0</v>
      </c>
      <c r="AQ79" s="12">
        <v>10</v>
      </c>
      <c r="AR79" s="12">
        <f>AVERAGE(8,11,6,7.5,8,9,10.5,9,7,11,12,8,9.5,10,10,7,6,12,10,9)</f>
        <v>9.0250000000000004</v>
      </c>
      <c r="AS79" s="13">
        <v>3</v>
      </c>
      <c r="AT79" s="23">
        <v>0</v>
      </c>
    </row>
    <row r="80" spans="29:46" x14ac:dyDescent="0.2">
      <c r="AC80" s="12">
        <v>2</v>
      </c>
      <c r="AD80" s="12" t="s">
        <v>133</v>
      </c>
      <c r="AE80" t="s">
        <v>155</v>
      </c>
      <c r="AF80" s="12">
        <v>0.2</v>
      </c>
      <c r="AG80" s="12">
        <v>0.53</v>
      </c>
      <c r="AH80" s="23">
        <v>1</v>
      </c>
      <c r="AI80" s="12">
        <v>100</v>
      </c>
      <c r="AJ80" s="12">
        <v>0</v>
      </c>
      <c r="AK80" s="12">
        <v>0</v>
      </c>
      <c r="AL80" s="22">
        <v>90</v>
      </c>
      <c r="AM80" s="12">
        <v>10</v>
      </c>
      <c r="AN80" s="12">
        <v>0</v>
      </c>
      <c r="AO80" s="12">
        <v>0</v>
      </c>
      <c r="AP80" s="12">
        <v>0</v>
      </c>
      <c r="AQ80" s="12">
        <v>10</v>
      </c>
      <c r="AR80" s="12">
        <f>AVERAGE(13,13,10,12,15,11,9,9,8.5,8,12,14,14,13,12,11,10,10,9,8)</f>
        <v>11.074999999999999</v>
      </c>
      <c r="AS80" s="13">
        <v>3</v>
      </c>
      <c r="AT80" s="23">
        <v>0</v>
      </c>
    </row>
    <row r="81" spans="29:46" x14ac:dyDescent="0.2">
      <c r="AC81" s="12">
        <v>2</v>
      </c>
      <c r="AD81" s="12" t="s">
        <v>133</v>
      </c>
      <c r="AE81" t="s">
        <v>155</v>
      </c>
      <c r="AF81" s="12">
        <v>0.15</v>
      </c>
      <c r="AG81" s="12">
        <v>0.56000000000000005</v>
      </c>
      <c r="AH81" s="23">
        <v>1</v>
      </c>
      <c r="AI81" s="12">
        <v>100</v>
      </c>
      <c r="AJ81" s="12">
        <v>0</v>
      </c>
      <c r="AK81" s="12">
        <v>0</v>
      </c>
      <c r="AL81" s="22">
        <v>83</v>
      </c>
      <c r="AM81" s="12">
        <v>17</v>
      </c>
      <c r="AN81" s="12">
        <v>0</v>
      </c>
      <c r="AO81" s="12">
        <v>0</v>
      </c>
      <c r="AP81" s="12">
        <v>0</v>
      </c>
      <c r="AQ81" s="12">
        <v>20</v>
      </c>
      <c r="AR81" s="12">
        <f>AVERAGE(15,16,15,10,8,10,9,12,11,11,13,14,11,9,11,10,12,13,14,11)</f>
        <v>11.75</v>
      </c>
      <c r="AS81" s="13">
        <v>3</v>
      </c>
      <c r="AT81" s="23">
        <v>0</v>
      </c>
    </row>
    <row r="82" spans="29:46" x14ac:dyDescent="0.2">
      <c r="AC82" s="12">
        <v>2</v>
      </c>
      <c r="AD82" s="12" t="s">
        <v>133</v>
      </c>
      <c r="AE82" t="s">
        <v>155</v>
      </c>
      <c r="AF82" s="12">
        <v>0.18</v>
      </c>
      <c r="AG82" s="12">
        <v>0.6</v>
      </c>
      <c r="AH82" s="23">
        <v>0.93</v>
      </c>
      <c r="AI82" s="12">
        <v>100</v>
      </c>
      <c r="AJ82" s="12">
        <v>0</v>
      </c>
      <c r="AK82" s="12">
        <v>0</v>
      </c>
      <c r="AL82" s="22">
        <v>85</v>
      </c>
      <c r="AM82" s="12">
        <v>15</v>
      </c>
      <c r="AN82" s="12">
        <v>0</v>
      </c>
      <c r="AO82" s="12">
        <v>0</v>
      </c>
      <c r="AP82" s="12">
        <v>0</v>
      </c>
      <c r="AQ82" s="12">
        <v>15</v>
      </c>
      <c r="AR82" s="12">
        <f>AVERAGE(14,14,11,10,11,8,12,8,11,10,10,9,14,16,13,11,10,9,10,13)</f>
        <v>11.2</v>
      </c>
      <c r="AS82" s="13">
        <v>4</v>
      </c>
      <c r="AT82" s="23">
        <v>0</v>
      </c>
    </row>
    <row r="83" spans="29:46" x14ac:dyDescent="0.2">
      <c r="AC83" s="12">
        <v>2</v>
      </c>
      <c r="AD83" s="12" t="s">
        <v>133</v>
      </c>
      <c r="AE83" t="s">
        <v>155</v>
      </c>
      <c r="AF83" s="12">
        <v>0.12</v>
      </c>
      <c r="AG83" s="12">
        <v>0.62</v>
      </c>
      <c r="AH83" s="23">
        <v>0.96</v>
      </c>
      <c r="AI83" s="12">
        <v>100</v>
      </c>
      <c r="AJ83" s="12">
        <v>0</v>
      </c>
      <c r="AK83" s="12">
        <v>0</v>
      </c>
      <c r="AL83" s="22">
        <v>90</v>
      </c>
      <c r="AM83" s="12">
        <v>10</v>
      </c>
      <c r="AN83" s="12">
        <v>0</v>
      </c>
      <c r="AO83" s="12">
        <v>0</v>
      </c>
      <c r="AP83" s="12">
        <v>0</v>
      </c>
      <c r="AQ83" s="12">
        <v>10</v>
      </c>
      <c r="AR83" s="12">
        <f>AVERAGE(8,13,7,10,12,11,10,14,15,13,13,12,11,7,10,8,12,14,11,10)</f>
        <v>11.05</v>
      </c>
      <c r="AS83" s="13">
        <v>3</v>
      </c>
      <c r="AT83" s="23">
        <v>0</v>
      </c>
    </row>
    <row r="84" spans="29:46" x14ac:dyDescent="0.2">
      <c r="AC84" s="27">
        <v>2</v>
      </c>
      <c r="AD84" s="27" t="s">
        <v>133</v>
      </c>
      <c r="AE84" t="s">
        <v>155</v>
      </c>
      <c r="AF84" s="27">
        <v>0.18</v>
      </c>
      <c r="AG84" s="27">
        <v>0.52</v>
      </c>
      <c r="AH84" s="28">
        <v>0.93</v>
      </c>
      <c r="AI84" s="27">
        <v>100</v>
      </c>
      <c r="AJ84" s="27">
        <v>0</v>
      </c>
      <c r="AK84" s="27">
        <v>0</v>
      </c>
      <c r="AL84" s="26">
        <v>93</v>
      </c>
      <c r="AM84" s="27">
        <v>7</v>
      </c>
      <c r="AN84" s="27">
        <v>0</v>
      </c>
      <c r="AO84" s="27">
        <v>0</v>
      </c>
      <c r="AP84" s="27">
        <v>0</v>
      </c>
      <c r="AQ84" s="27">
        <v>10</v>
      </c>
      <c r="AR84" s="27">
        <f>AVERAGE(14,10,10,12,8,9,13,13,11,10,10,8,9,8,11,11,14,15,8,9)</f>
        <v>10.65</v>
      </c>
      <c r="AS84" s="15">
        <v>4</v>
      </c>
      <c r="AT84" s="28">
        <v>0</v>
      </c>
    </row>
    <row r="85" spans="29:46" x14ac:dyDescent="0.2">
      <c r="AC85" s="10">
        <v>2</v>
      </c>
      <c r="AD85" s="10" t="s">
        <v>14</v>
      </c>
      <c r="AE85" t="s">
        <v>156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 s="10">
        <v>90</v>
      </c>
      <c r="AM85" s="10">
        <v>10</v>
      </c>
      <c r="AN85" s="10">
        <v>0</v>
      </c>
      <c r="AO85" s="10">
        <v>0</v>
      </c>
      <c r="AP85" s="10">
        <v>0</v>
      </c>
      <c r="AQ85" s="10">
        <v>10</v>
      </c>
      <c r="AR85" s="10">
        <f>AVERAGE(13,10,9,11,13,14,12,11,10,12,14,10,9,13,12,15,10,10,11,10)</f>
        <v>11.45</v>
      </c>
      <c r="AS85" s="14">
        <v>4</v>
      </c>
      <c r="AT85" s="11">
        <v>0</v>
      </c>
    </row>
    <row r="86" spans="29:46" x14ac:dyDescent="0.2">
      <c r="AC86" s="12">
        <v>2</v>
      </c>
      <c r="AD86" s="12" t="s">
        <v>14</v>
      </c>
      <c r="AE86" t="s">
        <v>156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 s="12">
        <v>75</v>
      </c>
      <c r="AM86" s="12">
        <v>25</v>
      </c>
      <c r="AN86" s="12">
        <v>0</v>
      </c>
      <c r="AO86" s="12">
        <v>0</v>
      </c>
      <c r="AP86" s="12">
        <v>0</v>
      </c>
      <c r="AQ86" s="12">
        <v>20</v>
      </c>
      <c r="AR86" s="12">
        <f>AVERAGE(12,11,10,8,14,13,16,13,9,12,8,9,14,16,9,11,13,13,15,12)</f>
        <v>11.9</v>
      </c>
      <c r="AS86" s="13">
        <v>3</v>
      </c>
      <c r="AT86" s="23">
        <v>0</v>
      </c>
    </row>
    <row r="87" spans="29:46" x14ac:dyDescent="0.2">
      <c r="AC87" s="12">
        <v>2</v>
      </c>
      <c r="AD87" s="12" t="s">
        <v>14</v>
      </c>
      <c r="AE87" t="s">
        <v>156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 s="12">
        <v>80</v>
      </c>
      <c r="AM87" s="12">
        <v>20</v>
      </c>
      <c r="AN87" s="12">
        <v>0</v>
      </c>
      <c r="AO87" s="12">
        <v>0</v>
      </c>
      <c r="AP87" s="12">
        <v>0</v>
      </c>
      <c r="AQ87" s="12">
        <v>25</v>
      </c>
      <c r="AR87" s="12">
        <f>AVERAGE(13,17,11,11,16,15,10,9,9,12,16,15,14,14,12,9,10,13,14,16)</f>
        <v>12.8</v>
      </c>
      <c r="AS87" s="13">
        <v>3</v>
      </c>
      <c r="AT87" s="23">
        <v>0</v>
      </c>
    </row>
    <row r="88" spans="29:46" x14ac:dyDescent="0.2">
      <c r="AC88" s="12">
        <v>2</v>
      </c>
      <c r="AD88" s="12" t="s">
        <v>14</v>
      </c>
      <c r="AE88" t="s">
        <v>156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 s="12">
        <v>65</v>
      </c>
      <c r="AM88" s="12">
        <v>35</v>
      </c>
      <c r="AN88" s="12">
        <v>0</v>
      </c>
      <c r="AO88" s="12">
        <v>0</v>
      </c>
      <c r="AP88" s="12">
        <v>0</v>
      </c>
      <c r="AQ88" s="12">
        <v>10</v>
      </c>
      <c r="AR88" s="12">
        <f>AVERAGE(12,15,14,14,10,11,10,12,12,17,16,13,13,11,10,11,14,15,12,12)</f>
        <v>12.7</v>
      </c>
      <c r="AS88" s="13">
        <v>4</v>
      </c>
      <c r="AT88" s="23">
        <v>0</v>
      </c>
    </row>
    <row r="89" spans="29:46" x14ac:dyDescent="0.2">
      <c r="AC89" s="12">
        <v>2</v>
      </c>
      <c r="AD89" s="12" t="s">
        <v>14</v>
      </c>
      <c r="AE89" t="s">
        <v>156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 s="12">
        <v>65</v>
      </c>
      <c r="AM89" s="12">
        <v>35</v>
      </c>
      <c r="AN89" s="12">
        <v>0</v>
      </c>
      <c r="AO89" s="12">
        <v>0</v>
      </c>
      <c r="AP89" s="12">
        <v>0</v>
      </c>
      <c r="AQ89" s="12">
        <v>5</v>
      </c>
      <c r="AR89" s="12">
        <f>AVERAGE(11,12,11,15,9,10,9,14,16,14.5,13,13,12,15,16,16,9,10,12,14)</f>
        <v>12.574999999999999</v>
      </c>
      <c r="AS89" s="13">
        <v>5</v>
      </c>
      <c r="AT89" s="23">
        <v>0</v>
      </c>
    </row>
    <row r="90" spans="29:46" x14ac:dyDescent="0.2">
      <c r="AC90" s="12">
        <v>2</v>
      </c>
      <c r="AD90" s="12" t="s">
        <v>133</v>
      </c>
      <c r="AE90" t="s">
        <v>156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 s="12">
        <v>80</v>
      </c>
      <c r="AM90" s="12">
        <v>20</v>
      </c>
      <c r="AN90" s="12">
        <v>0</v>
      </c>
      <c r="AO90" s="12">
        <v>0</v>
      </c>
      <c r="AP90" s="12">
        <v>0</v>
      </c>
      <c r="AQ90" s="12">
        <v>20</v>
      </c>
      <c r="AR90" s="12">
        <f>AVERAGE(14,14,12,11,10,10,13,13.5,15,11,12,15,12,10,12,13.5,15,12,10,12)</f>
        <v>12.35</v>
      </c>
      <c r="AS90" s="13">
        <v>3</v>
      </c>
      <c r="AT90" s="23">
        <v>0</v>
      </c>
    </row>
    <row r="91" spans="29:46" x14ac:dyDescent="0.2">
      <c r="AC91" s="12">
        <v>2</v>
      </c>
      <c r="AD91" s="12" t="s">
        <v>133</v>
      </c>
      <c r="AE91" t="s">
        <v>156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 s="12">
        <v>90</v>
      </c>
      <c r="AM91" s="12">
        <v>10</v>
      </c>
      <c r="AN91" s="12">
        <v>0</v>
      </c>
      <c r="AO91" s="12">
        <v>0</v>
      </c>
      <c r="AP91" s="12">
        <v>0</v>
      </c>
      <c r="AQ91" s="12">
        <v>15</v>
      </c>
      <c r="AR91" s="12">
        <f>AVERAGE(13,12,12,10,15,14,11,11,10,10,13,13,15,14,14,12,10,11,12,12.5)</f>
        <v>12.225</v>
      </c>
      <c r="AS91" s="13">
        <v>5</v>
      </c>
      <c r="AT91" s="23">
        <v>0</v>
      </c>
    </row>
    <row r="92" spans="29:46" x14ac:dyDescent="0.2">
      <c r="AC92" s="12">
        <v>2</v>
      </c>
      <c r="AD92" s="12" t="s">
        <v>133</v>
      </c>
      <c r="AE92" t="s">
        <v>156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 s="12">
        <v>85</v>
      </c>
      <c r="AM92" s="12">
        <v>15</v>
      </c>
      <c r="AN92" s="12">
        <v>0</v>
      </c>
      <c r="AO92" s="12">
        <v>0</v>
      </c>
      <c r="AP92" s="12">
        <v>0</v>
      </c>
      <c r="AQ92" s="12">
        <v>15</v>
      </c>
      <c r="AR92" s="12">
        <f>AVERAGE(15,13,13,11,17,12,14,14,8,11,8,9,17,16,12,15,11,13,13,14.5)</f>
        <v>12.824999999999999</v>
      </c>
      <c r="AS92" s="13">
        <v>4</v>
      </c>
      <c r="AT92" s="23">
        <v>0</v>
      </c>
    </row>
    <row r="93" spans="29:46" x14ac:dyDescent="0.2">
      <c r="AC93" s="12">
        <v>2</v>
      </c>
      <c r="AD93" s="12" t="s">
        <v>133</v>
      </c>
      <c r="AE93" t="s">
        <v>156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 s="12">
        <v>95</v>
      </c>
      <c r="AM93" s="12">
        <v>5</v>
      </c>
      <c r="AN93" s="12">
        <v>0</v>
      </c>
      <c r="AO93" s="12">
        <v>0</v>
      </c>
      <c r="AP93" s="12">
        <v>0</v>
      </c>
      <c r="AQ93" s="12">
        <v>20</v>
      </c>
      <c r="AR93" s="12">
        <f>AVERAGE(14,15,13,13,12,11,8,10,9,10,12,13,16,16,14,8,12,13,11,16)</f>
        <v>12.3</v>
      </c>
      <c r="AS93" s="13">
        <v>4</v>
      </c>
      <c r="AT93" s="23">
        <v>0</v>
      </c>
    </row>
    <row r="94" spans="29:46" x14ac:dyDescent="0.2">
      <c r="AC94" s="12">
        <v>2</v>
      </c>
      <c r="AD94" s="12" t="s">
        <v>133</v>
      </c>
      <c r="AE94" t="s">
        <v>156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 s="12">
        <v>95</v>
      </c>
      <c r="AM94" s="12">
        <v>5</v>
      </c>
      <c r="AN94" s="12">
        <v>0</v>
      </c>
      <c r="AO94" s="12">
        <v>0</v>
      </c>
      <c r="AP94" s="12">
        <v>0</v>
      </c>
      <c r="AQ94" s="12">
        <v>25</v>
      </c>
      <c r="AR94" s="12">
        <f>AVERAGE(14,11,12,15,14,13,8,10,7,12,9,14,15,8,10,11,15,14,13,12)</f>
        <v>11.85</v>
      </c>
      <c r="AS94" s="13">
        <v>4</v>
      </c>
      <c r="AT94" s="23">
        <v>0</v>
      </c>
    </row>
    <row r="95" spans="29:46" x14ac:dyDescent="0.2">
      <c r="AC95" s="12">
        <v>2</v>
      </c>
      <c r="AD95" s="12" t="s">
        <v>14</v>
      </c>
      <c r="AE95" t="s">
        <v>156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 s="12">
        <v>80</v>
      </c>
      <c r="AM95" s="12">
        <v>20</v>
      </c>
      <c r="AN95" s="12">
        <v>0</v>
      </c>
      <c r="AO95" s="12">
        <v>0</v>
      </c>
      <c r="AP95" s="12">
        <v>0</v>
      </c>
      <c r="AQ95" s="12">
        <v>20</v>
      </c>
      <c r="AR95" s="25">
        <f>AVERAGE(16,14,14,9,12,11,8,15,12,13,12,11,10,8,15,12,11,10,8,10,12)</f>
        <v>11.571428571428571</v>
      </c>
      <c r="AS95" s="13">
        <v>4</v>
      </c>
      <c r="AT95" s="23">
        <v>5</v>
      </c>
    </row>
    <row r="96" spans="29:46" x14ac:dyDescent="0.2">
      <c r="AC96" s="12">
        <v>2</v>
      </c>
      <c r="AD96" s="12" t="s">
        <v>14</v>
      </c>
      <c r="AE96" t="s">
        <v>156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 s="12">
        <v>95</v>
      </c>
      <c r="AM96" s="12">
        <v>5</v>
      </c>
      <c r="AN96" s="12">
        <v>0</v>
      </c>
      <c r="AO96" s="12">
        <v>0</v>
      </c>
      <c r="AP96" s="12">
        <v>0</v>
      </c>
      <c r="AQ96" s="12">
        <v>20</v>
      </c>
      <c r="AR96" s="12">
        <f>AVERAGE(17,13,10,12,18,13,11,19.5,13,12,14,15,13,17,16.5,14,15,17,19,13)</f>
        <v>14.6</v>
      </c>
      <c r="AS96" s="13">
        <v>3</v>
      </c>
      <c r="AT96" s="23">
        <v>5</v>
      </c>
    </row>
    <row r="97" spans="29:46" x14ac:dyDescent="0.2">
      <c r="AC97" s="12">
        <v>2</v>
      </c>
      <c r="AD97" s="12" t="s">
        <v>14</v>
      </c>
      <c r="AE97" t="s">
        <v>156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 s="12">
        <v>95</v>
      </c>
      <c r="AM97" s="12">
        <v>5</v>
      </c>
      <c r="AN97" s="12">
        <v>0</v>
      </c>
      <c r="AO97" s="12">
        <v>0</v>
      </c>
      <c r="AP97" s="12">
        <v>0</v>
      </c>
      <c r="AQ97" s="12">
        <v>20</v>
      </c>
      <c r="AR97" s="12">
        <f>AVERAGE(13,12,12.5,10,8,6,14,16,12,13,13.5,10,10,11,14,9,10,10,11.5,12)</f>
        <v>11.375</v>
      </c>
      <c r="AS97" s="13">
        <v>3</v>
      </c>
      <c r="AT97" s="23">
        <v>0</v>
      </c>
    </row>
    <row r="98" spans="29:46" x14ac:dyDescent="0.2">
      <c r="AC98" s="12">
        <v>2</v>
      </c>
      <c r="AD98" s="12" t="s">
        <v>14</v>
      </c>
      <c r="AE98" t="s">
        <v>156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 s="12">
        <v>80</v>
      </c>
      <c r="AM98" s="12">
        <v>20</v>
      </c>
      <c r="AN98" s="12">
        <v>0</v>
      </c>
      <c r="AO98" s="12">
        <v>0</v>
      </c>
      <c r="AP98" s="12">
        <v>0</v>
      </c>
      <c r="AQ98" s="12">
        <v>15</v>
      </c>
      <c r="AR98" s="12">
        <f>AVERAGE(7,10,9,5,7,6,10,11,8,12,10,7,9,8,5,5.5,6,8,9,7)</f>
        <v>7.9749999999999996</v>
      </c>
      <c r="AS98" s="13">
        <v>3</v>
      </c>
      <c r="AT98" s="23">
        <v>0</v>
      </c>
    </row>
    <row r="99" spans="29:46" x14ac:dyDescent="0.2">
      <c r="AC99" s="12">
        <v>2</v>
      </c>
      <c r="AD99" s="12" t="s">
        <v>14</v>
      </c>
      <c r="AE99" t="s">
        <v>156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 s="12">
        <v>60</v>
      </c>
      <c r="AM99" s="12">
        <v>40</v>
      </c>
      <c r="AN99" s="12">
        <v>0</v>
      </c>
      <c r="AO99" s="12">
        <v>0</v>
      </c>
      <c r="AP99" s="12">
        <v>0</v>
      </c>
      <c r="AQ99" s="12">
        <v>10</v>
      </c>
      <c r="AR99" s="12">
        <f>AVERAGE(10,10,15,14,7,9,11,12,13,14,6,13,12,12.5,14,8,10,10,7,13)</f>
        <v>11.025</v>
      </c>
      <c r="AS99" s="13">
        <v>4</v>
      </c>
      <c r="AT99" s="23">
        <v>0</v>
      </c>
    </row>
    <row r="100" spans="29:46" x14ac:dyDescent="0.2">
      <c r="AC100" s="12">
        <v>2</v>
      </c>
      <c r="AD100" s="12" t="s">
        <v>133</v>
      </c>
      <c r="AE100" t="s">
        <v>156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 s="12">
        <v>90</v>
      </c>
      <c r="AM100" s="12">
        <v>10</v>
      </c>
      <c r="AN100" s="12">
        <v>0</v>
      </c>
      <c r="AO100" s="12">
        <v>0</v>
      </c>
      <c r="AP100" s="12">
        <v>0</v>
      </c>
      <c r="AQ100" s="12">
        <v>15</v>
      </c>
      <c r="AR100" s="12">
        <f>AVERAGE(15,13,13.5,11,8,7,14,15,14,16,12,11,10,12,14,11.5,9,13.5,15,11)</f>
        <v>12.275</v>
      </c>
      <c r="AS100" s="13">
        <v>4</v>
      </c>
      <c r="AT100" s="23">
        <v>0</v>
      </c>
    </row>
    <row r="101" spans="29:46" x14ac:dyDescent="0.2">
      <c r="AC101" s="12">
        <v>2</v>
      </c>
      <c r="AD101" s="12" t="s">
        <v>133</v>
      </c>
      <c r="AE101" t="s">
        <v>156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 s="12">
        <v>85</v>
      </c>
      <c r="AM101" s="12">
        <v>15</v>
      </c>
      <c r="AN101" s="12">
        <v>0</v>
      </c>
      <c r="AO101" s="12">
        <v>0</v>
      </c>
      <c r="AP101" s="12">
        <v>0</v>
      </c>
      <c r="AQ101" s="12">
        <v>25</v>
      </c>
      <c r="AR101" s="12">
        <f>AVERAGE(11,8,13,13,10,15,12,11,13.5,14,16,9,11,12,12,14,15,12,13.5,11)</f>
        <v>12.3</v>
      </c>
      <c r="AS101" s="13">
        <v>5</v>
      </c>
      <c r="AT101" s="23">
        <v>0</v>
      </c>
    </row>
    <row r="102" spans="29:46" x14ac:dyDescent="0.2">
      <c r="AC102" s="12">
        <v>2</v>
      </c>
      <c r="AD102" s="12" t="s">
        <v>133</v>
      </c>
      <c r="AE102" t="s">
        <v>156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 s="12">
        <v>95</v>
      </c>
      <c r="AM102" s="12">
        <v>5</v>
      </c>
      <c r="AN102" s="12">
        <v>0</v>
      </c>
      <c r="AO102" s="12">
        <v>0</v>
      </c>
      <c r="AP102" s="12">
        <v>0</v>
      </c>
      <c r="AQ102" s="12">
        <v>15</v>
      </c>
      <c r="AR102" s="12">
        <f>AVERAGE(9,13,12,15,8,10,13,12,14,13.5,14,12,9,10,13,10,11,14,12,10)</f>
        <v>11.725</v>
      </c>
      <c r="AS102" s="13">
        <v>5</v>
      </c>
      <c r="AT102" s="23">
        <v>0</v>
      </c>
    </row>
    <row r="103" spans="29:46" x14ac:dyDescent="0.2">
      <c r="AC103" s="12">
        <v>2</v>
      </c>
      <c r="AD103" s="12" t="s">
        <v>133</v>
      </c>
      <c r="AE103" t="s">
        <v>156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 s="12">
        <v>95</v>
      </c>
      <c r="AM103" s="12">
        <v>5</v>
      </c>
      <c r="AN103" s="12">
        <v>0</v>
      </c>
      <c r="AO103" s="12">
        <v>0</v>
      </c>
      <c r="AP103" s="12">
        <v>0</v>
      </c>
      <c r="AQ103" s="12">
        <v>10</v>
      </c>
      <c r="AR103" s="12">
        <f>AVERAGE(12,11,12,10,13,13,7,11,12,9,13,10,10,14,13,9,14,11,8,13)</f>
        <v>11.25</v>
      </c>
      <c r="AS103" s="13">
        <v>4</v>
      </c>
      <c r="AT103" s="23">
        <v>0</v>
      </c>
    </row>
    <row r="104" spans="29:46" x14ac:dyDescent="0.2">
      <c r="AC104" s="27">
        <v>2</v>
      </c>
      <c r="AD104" s="27" t="s">
        <v>133</v>
      </c>
      <c r="AE104" t="s">
        <v>156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 s="27">
        <v>100</v>
      </c>
      <c r="AM104" s="27">
        <v>0</v>
      </c>
      <c r="AN104" s="27">
        <v>0</v>
      </c>
      <c r="AO104" s="27">
        <v>0</v>
      </c>
      <c r="AP104" s="27">
        <v>0</v>
      </c>
      <c r="AQ104" s="27">
        <v>15</v>
      </c>
      <c r="AR104" s="27">
        <f>AVERAGE(15,13,10,11,11,14,10,12,12.5,8,13,11,14,11,9,13,12.5,14,14,11)</f>
        <v>11.95</v>
      </c>
      <c r="AS104" s="15">
        <v>5</v>
      </c>
      <c r="AT104" s="28">
        <v>0</v>
      </c>
    </row>
  </sheetData>
  <mergeCells count="4">
    <mergeCell ref="D3:F3"/>
    <mergeCell ref="G3:I3"/>
    <mergeCell ref="J3:R3"/>
    <mergeCell ref="S3:AA3"/>
  </mergeCells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tables</vt:lpstr>
      <vt:lpstr>Plot characteristics</vt:lpstr>
      <vt:lpstr>Grain size data</vt:lpstr>
      <vt:lpstr>Sediment CN data</vt:lpstr>
      <vt:lpstr>Water quality data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2023-04-12T13:34:29Z</dcterms:created>
  <dcterms:modified xsi:type="dcterms:W3CDTF">2023-09-10T21:21:14Z</dcterms:modified>
</cp:coreProperties>
</file>